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elta.sim.sise/webdav/a3f68c5a26194ded59db82aca57ab31296b9b195/47702194922/0c31d0a2-0ec6-4165-b66e-3ceb07873483/"/>
    </mc:Choice>
  </mc:AlternateContent>
  <xr:revisionPtr revIDLastSave="0" documentId="13_ncr:1_{66E5347E-4A50-4169-B3FC-E6191F2B4BD2}" xr6:coauthVersionLast="47" xr6:coauthVersionMax="47" xr10:uidLastSave="{00000000-0000-0000-0000-000000000000}"/>
  <bookViews>
    <workbookView xWindow="22932" yWindow="-108" windowWidth="30936" windowHeight="16776" xr2:uid="{00000000-000D-0000-FFFF-FFFF00000000}"/>
  </bookViews>
  <sheets>
    <sheet name="Rahastamiskava juuni 2025" sheetId="3" r:id="rId1"/>
    <sheet name="indikaatorite arvutused" sheetId="6" state="hidden" r:id="rId2"/>
    <sheet name="Performance FW" sheetId="4" state="hidden" r:id="rId3"/>
    <sheet name="SFC" sheetId="5" state="hidden" r:id="rId4"/>
  </sheets>
  <definedNames>
    <definedName name="_xlnm._FilterDatabase" localSheetId="0" hidden="1">'Rahastamiskava juuni 2025'!$A$8:$Y$64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7" i="3" l="1"/>
  <c r="M15" i="3"/>
  <c r="I32" i="3"/>
  <c r="M32" i="3"/>
  <c r="K32" i="3"/>
  <c r="G48" i="5" l="1"/>
  <c r="E48" i="5"/>
  <c r="H53" i="5"/>
  <c r="F52" i="5"/>
  <c r="G52" i="5"/>
  <c r="E52" i="5"/>
  <c r="C100" i="6"/>
  <c r="C99" i="6"/>
  <c r="AD28" i="4"/>
  <c r="AD26" i="4"/>
  <c r="AD24" i="4"/>
  <c r="AB26" i="4"/>
  <c r="AB24" i="4"/>
  <c r="E119" i="6"/>
  <c r="F14" i="5"/>
  <c r="E14" i="5"/>
  <c r="F26" i="5"/>
  <c r="E26" i="5"/>
  <c r="E34" i="3"/>
  <c r="E36" i="3"/>
  <c r="I37" i="3"/>
  <c r="K37" i="3"/>
  <c r="M39" i="3"/>
  <c r="I39" i="3"/>
  <c r="K39" i="3"/>
  <c r="I43" i="3"/>
  <c r="K43" i="3"/>
  <c r="I45" i="3"/>
  <c r="K45" i="3"/>
  <c r="H28" i="4"/>
  <c r="I52" i="5" l="1"/>
  <c r="E21" i="3" l="1"/>
  <c r="E9" i="3"/>
  <c r="E26" i="4"/>
  <c r="E24" i="4"/>
  <c r="X26" i="4"/>
  <c r="X24" i="4"/>
  <c r="C144" i="6"/>
  <c r="AA26" i="4"/>
  <c r="AA24" i="4"/>
  <c r="P26" i="4"/>
  <c r="P24" i="4"/>
  <c r="L26" i="4"/>
  <c r="L24" i="4"/>
  <c r="H26" i="4"/>
  <c r="H24" i="4"/>
  <c r="C10" i="6" l="1"/>
  <c r="AP8" i="4"/>
  <c r="AO8" i="4"/>
  <c r="AN8" i="4"/>
  <c r="AL8" i="4"/>
  <c r="AK8" i="4"/>
  <c r="AJ8" i="4"/>
  <c r="AJ7" i="4"/>
  <c r="AI8" i="4"/>
  <c r="AI7" i="4"/>
  <c r="AH8" i="4"/>
  <c r="AH7" i="4"/>
  <c r="AG8" i="4"/>
  <c r="AG7" i="4"/>
  <c r="AF8" i="4"/>
  <c r="AF7" i="4"/>
  <c r="AE8" i="4"/>
  <c r="AE7" i="4"/>
  <c r="AD8" i="4"/>
  <c r="AD7" i="4"/>
  <c r="AC8" i="4"/>
  <c r="AC7" i="4"/>
  <c r="Z8" i="4"/>
  <c r="W8" i="4"/>
  <c r="V8" i="4"/>
  <c r="U8" i="4"/>
  <c r="S8" i="4"/>
  <c r="S7" i="4"/>
  <c r="R8" i="4"/>
  <c r="R7" i="4"/>
  <c r="Q8" i="4"/>
  <c r="Q7" i="4"/>
  <c r="P8" i="4"/>
  <c r="P7" i="4"/>
  <c r="N8" i="4"/>
  <c r="N7" i="4"/>
  <c r="K7" i="4"/>
  <c r="J8" i="4"/>
  <c r="J7" i="4"/>
  <c r="I8" i="4"/>
  <c r="I7" i="4"/>
  <c r="H8" i="4"/>
  <c r="H7" i="4"/>
  <c r="G8" i="4"/>
  <c r="F8" i="4"/>
  <c r="F7" i="4"/>
  <c r="D8" i="4"/>
  <c r="D7" i="4"/>
  <c r="Y8" i="4"/>
  <c r="O7" i="4"/>
  <c r="E56" i="6"/>
  <c r="O8" i="4" s="1"/>
  <c r="C61" i="6"/>
  <c r="M7" i="4"/>
  <c r="M8" i="4"/>
  <c r="C54" i="6"/>
  <c r="L7" i="4"/>
  <c r="L8" i="4"/>
  <c r="G7" i="4"/>
  <c r="D17" i="6"/>
  <c r="E7" i="4" s="1"/>
  <c r="E17" i="6"/>
  <c r="E8" i="4" s="1"/>
  <c r="D3" i="6"/>
  <c r="C7" i="4" s="1"/>
  <c r="E3" i="6"/>
  <c r="C8" i="4" s="1"/>
  <c r="D116" i="6"/>
  <c r="AA7" i="4" s="1"/>
  <c r="AA8" i="4"/>
  <c r="AB7" i="4"/>
  <c r="AB8" i="4"/>
  <c r="C143" i="6"/>
  <c r="C149" i="6"/>
  <c r="C147" i="6"/>
  <c r="C135" i="6"/>
  <c r="C134" i="6"/>
  <c r="C132" i="6"/>
  <c r="C131" i="6"/>
  <c r="C129" i="6"/>
  <c r="C127" i="6"/>
  <c r="C125" i="6"/>
  <c r="C123" i="6"/>
  <c r="C121" i="6"/>
  <c r="C120" i="6"/>
  <c r="C117" i="6"/>
  <c r="C118" i="6"/>
  <c r="C111" i="6"/>
  <c r="C110" i="6"/>
  <c r="C109" i="6"/>
  <c r="C108" i="6"/>
  <c r="C107" i="6"/>
  <c r="C106" i="6"/>
  <c r="C105" i="6"/>
  <c r="C104" i="6"/>
  <c r="C103" i="6"/>
  <c r="C101" i="6"/>
  <c r="C98" i="6"/>
  <c r="C97" i="6"/>
  <c r="C96" i="6"/>
  <c r="C95" i="6"/>
  <c r="E82" i="6"/>
  <c r="T8" i="4" s="1"/>
  <c r="C86" i="6"/>
  <c r="C91" i="6"/>
  <c r="C90" i="6"/>
  <c r="C89" i="6"/>
  <c r="C88" i="6"/>
  <c r="C85" i="6"/>
  <c r="C84" i="6"/>
  <c r="C83" i="6"/>
  <c r="C20" i="6"/>
  <c r="C78" i="6"/>
  <c r="C77" i="6"/>
  <c r="C75" i="6"/>
  <c r="C74" i="6"/>
  <c r="C73" i="6"/>
  <c r="C72" i="6"/>
  <c r="C71" i="6"/>
  <c r="C70" i="6"/>
  <c r="C69" i="6"/>
  <c r="C68" i="6"/>
  <c r="C67" i="6"/>
  <c r="C66" i="6"/>
  <c r="C65" i="6"/>
  <c r="C63" i="6"/>
  <c r="C62" i="6"/>
  <c r="C60" i="6"/>
  <c r="C59" i="6"/>
  <c r="C58" i="6"/>
  <c r="C57" i="6"/>
  <c r="C53" i="6"/>
  <c r="C52" i="6"/>
  <c r="C51" i="6"/>
  <c r="C50" i="6"/>
  <c r="C49" i="6"/>
  <c r="C48" i="6"/>
  <c r="C47" i="6"/>
  <c r="C46" i="6"/>
  <c r="C44" i="6"/>
  <c r="C43" i="6"/>
  <c r="C42" i="6"/>
  <c r="C41" i="6"/>
  <c r="C40" i="6"/>
  <c r="C39" i="6"/>
  <c r="C38" i="6"/>
  <c r="C37" i="6"/>
  <c r="C36" i="6"/>
  <c r="C35" i="6"/>
  <c r="C34" i="6"/>
  <c r="E30" i="6"/>
  <c r="K8" i="4" s="1"/>
  <c r="C32" i="6"/>
  <c r="C31" i="6"/>
  <c r="C28" i="6"/>
  <c r="C26" i="6"/>
  <c r="C24" i="6"/>
  <c r="C23" i="6"/>
  <c r="C19" i="6"/>
  <c r="C18" i="6"/>
  <c r="C16" i="6"/>
  <c r="C14" i="6"/>
  <c r="C13" i="6"/>
  <c r="C12" i="6"/>
  <c r="C11" i="6"/>
  <c r="C9" i="6"/>
  <c r="C8" i="6"/>
  <c r="C7" i="6"/>
  <c r="C6" i="6"/>
  <c r="C5" i="6"/>
  <c r="C4" i="6"/>
  <c r="K24" i="4"/>
  <c r="G51" i="5" l="1"/>
  <c r="F51" i="5" s="1"/>
  <c r="E51" i="5"/>
  <c r="I25" i="3"/>
  <c r="E23" i="5" s="1"/>
  <c r="D23" i="5" s="1"/>
  <c r="K25" i="3"/>
  <c r="F23" i="5" s="1"/>
  <c r="M24" i="3"/>
  <c r="I62" i="3"/>
  <c r="H61" i="5"/>
  <c r="F56" i="5"/>
  <c r="I56" i="5" s="1"/>
  <c r="F57" i="5"/>
  <c r="H59" i="5"/>
  <c r="I57" i="5"/>
  <c r="E60" i="5"/>
  <c r="I60" i="5" s="1"/>
  <c r="Y29" i="4"/>
  <c r="Y28" i="4"/>
  <c r="W28" i="4"/>
  <c r="U28" i="4"/>
  <c r="Y27" i="4"/>
  <c r="W27" i="4"/>
  <c r="U27" i="4"/>
  <c r="AB28" i="4"/>
  <c r="Y26" i="4"/>
  <c r="X28" i="4"/>
  <c r="W26" i="4"/>
  <c r="U26" i="4"/>
  <c r="P28" i="4"/>
  <c r="Y25" i="4"/>
  <c r="W25" i="4"/>
  <c r="U25" i="4"/>
  <c r="Y24" i="4"/>
  <c r="W24" i="4"/>
  <c r="U24" i="4"/>
  <c r="L28" i="4"/>
  <c r="A5" i="4"/>
  <c r="D5" i="5"/>
  <c r="D8" i="5"/>
  <c r="D9" i="5"/>
  <c r="D10" i="5"/>
  <c r="D11" i="5"/>
  <c r="D12" i="5"/>
  <c r="D13" i="5"/>
  <c r="D16" i="5"/>
  <c r="D18" i="5"/>
  <c r="D19" i="5"/>
  <c r="D20" i="5"/>
  <c r="D21" i="5"/>
  <c r="D24" i="5"/>
  <c r="D34" i="5"/>
  <c r="D35" i="5"/>
  <c r="K53" i="3"/>
  <c r="K52" i="3"/>
  <c r="K51" i="3"/>
  <c r="I51" i="3"/>
  <c r="I52" i="3"/>
  <c r="AA28" i="4" l="1"/>
  <c r="E28" i="4"/>
  <c r="K61" i="3"/>
  <c r="I61" i="3"/>
  <c r="K60" i="3"/>
  <c r="F36" i="5" s="1"/>
  <c r="I60" i="3"/>
  <c r="E36" i="5" s="1"/>
  <c r="D36" i="5" s="1"/>
  <c r="K59" i="3"/>
  <c r="F33" i="5" s="1"/>
  <c r="I59" i="3"/>
  <c r="E33" i="5" s="1"/>
  <c r="D33" i="5" s="1"/>
  <c r="E59" i="3"/>
  <c r="M58" i="3"/>
  <c r="E57" i="3" s="1"/>
  <c r="I58" i="3"/>
  <c r="E38" i="5" s="1"/>
  <c r="M57" i="3"/>
  <c r="K57" i="3"/>
  <c r="M54" i="3"/>
  <c r="E54" i="3" s="1"/>
  <c r="I53" i="3"/>
  <c r="D14" i="5"/>
  <c r="K49" i="3"/>
  <c r="K50" i="3" s="1"/>
  <c r="I49" i="3"/>
  <c r="I50" i="3" s="1"/>
  <c r="K47" i="3"/>
  <c r="I47" i="3"/>
  <c r="E6" i="5" s="1"/>
  <c r="K46" i="3"/>
  <c r="I44" i="3"/>
  <c r="M43" i="3"/>
  <c r="I42" i="3"/>
  <c r="M38" i="3"/>
  <c r="M37" i="3"/>
  <c r="M36" i="3"/>
  <c r="K35" i="3"/>
  <c r="K36" i="3" s="1"/>
  <c r="I35" i="3"/>
  <c r="I36" i="3" s="1"/>
  <c r="M34" i="3"/>
  <c r="K33" i="3"/>
  <c r="K34" i="3" s="1"/>
  <c r="I33" i="3"/>
  <c r="I34" i="3" s="1"/>
  <c r="K31" i="3"/>
  <c r="I31" i="3"/>
  <c r="M30" i="3"/>
  <c r="I30" i="3" s="1"/>
  <c r="K29" i="3"/>
  <c r="F17" i="5" s="1"/>
  <c r="I29" i="3"/>
  <c r="E17" i="5" s="1"/>
  <c r="K28" i="3"/>
  <c r="F15" i="5" s="1"/>
  <c r="I28" i="3"/>
  <c r="E15" i="5" s="1"/>
  <c r="K27" i="3"/>
  <c r="I27" i="3"/>
  <c r="K26" i="3"/>
  <c r="I26" i="3"/>
  <c r="I24" i="3"/>
  <c r="E22" i="5" s="1"/>
  <c r="K24" i="3"/>
  <c r="F22" i="5" s="1"/>
  <c r="K23" i="3"/>
  <c r="I23" i="3"/>
  <c r="K22" i="3"/>
  <c r="I22" i="3"/>
  <c r="M21" i="3"/>
  <c r="K21" i="3" s="1"/>
  <c r="M20" i="3"/>
  <c r="K20" i="3" s="1"/>
  <c r="M19" i="3"/>
  <c r="K19" i="3" s="1"/>
  <c r="M18" i="3"/>
  <c r="I18" i="3" s="1"/>
  <c r="K18" i="3"/>
  <c r="G50" i="5" s="1"/>
  <c r="F50" i="5" s="1"/>
  <c r="K17" i="3"/>
  <c r="G26" i="4" s="1"/>
  <c r="I17" i="3"/>
  <c r="G24" i="4" s="1"/>
  <c r="G28" i="4" s="1"/>
  <c r="K16" i="3"/>
  <c r="I16" i="3"/>
  <c r="K15" i="3"/>
  <c r="I15" i="3"/>
  <c r="S14" i="3"/>
  <c r="K14" i="3"/>
  <c r="I14" i="3"/>
  <c r="I13" i="3"/>
  <c r="K13" i="3"/>
  <c r="K12" i="3"/>
  <c r="I12" i="3"/>
  <c r="I11" i="3"/>
  <c r="M10" i="3"/>
  <c r="K9" i="3"/>
  <c r="I9" i="3"/>
  <c r="I7" i="3" l="1"/>
  <c r="I63" i="3" s="1"/>
  <c r="I64" i="3" s="1"/>
  <c r="C24" i="4"/>
  <c r="D17" i="5"/>
  <c r="D22" i="5"/>
  <c r="F39" i="5"/>
  <c r="F6" i="5"/>
  <c r="E28" i="3"/>
  <c r="D15" i="5"/>
  <c r="E50" i="5"/>
  <c r="I50" i="5" s="1"/>
  <c r="E40" i="5"/>
  <c r="E58" i="5"/>
  <c r="I58" i="5" s="1"/>
  <c r="D6" i="5"/>
  <c r="E49" i="5"/>
  <c r="G49" i="5"/>
  <c r="F49" i="5" s="1"/>
  <c r="I10" i="3"/>
  <c r="E3" i="5" s="1"/>
  <c r="K10" i="3"/>
  <c r="F3" i="5" s="1"/>
  <c r="K30" i="3"/>
  <c r="F40" i="5"/>
  <c r="G58" i="5"/>
  <c r="F58" i="5" s="1"/>
  <c r="F27" i="5"/>
  <c r="E2" i="5"/>
  <c r="E28" i="5"/>
  <c r="F28" i="5"/>
  <c r="F25" i="5"/>
  <c r="M45" i="3"/>
  <c r="E4" i="5"/>
  <c r="E7" i="5"/>
  <c r="F7" i="5"/>
  <c r="I46" i="3"/>
  <c r="F2" i="5"/>
  <c r="M47" i="3"/>
  <c r="M48" i="3" s="1"/>
  <c r="I19" i="3"/>
  <c r="I54" i="3"/>
  <c r="K54" i="3"/>
  <c r="K58" i="3"/>
  <c r="K11" i="3"/>
  <c r="C26" i="4" s="1"/>
  <c r="M56" i="3"/>
  <c r="M55" i="3" s="1"/>
  <c r="K44" i="3"/>
  <c r="M44" i="3" s="1"/>
  <c r="I57" i="3"/>
  <c r="M49" i="3"/>
  <c r="M50" i="3" s="1"/>
  <c r="I20" i="3"/>
  <c r="M62" i="3"/>
  <c r="I21" i="3"/>
  <c r="E25" i="5" s="1"/>
  <c r="C28" i="4" l="1"/>
  <c r="D25" i="5"/>
  <c r="M46" i="3"/>
  <c r="G47" i="5"/>
  <c r="D26" i="5"/>
  <c r="I56" i="3"/>
  <c r="E56" i="3" s="1"/>
  <c r="E55" i="3" s="1"/>
  <c r="E39" i="5"/>
  <c r="D39" i="5" s="1"/>
  <c r="E55" i="5"/>
  <c r="I49" i="5"/>
  <c r="D3" i="5"/>
  <c r="D28" i="5"/>
  <c r="K56" i="3"/>
  <c r="K55" i="3" s="1"/>
  <c r="F38" i="5"/>
  <c r="D38" i="5" s="1"/>
  <c r="D7" i="5"/>
  <c r="D2" i="5"/>
  <c r="D40" i="5"/>
  <c r="G55" i="5"/>
  <c r="E47" i="5"/>
  <c r="E53" i="5" s="1"/>
  <c r="E27" i="5"/>
  <c r="D27" i="5" s="1"/>
  <c r="F47" i="5" l="1"/>
  <c r="I47" i="5" s="1"/>
  <c r="G53" i="5"/>
  <c r="E59" i="5"/>
  <c r="E61" i="5"/>
  <c r="F55" i="5"/>
  <c r="I55" i="5" s="1"/>
  <c r="G59" i="5"/>
  <c r="I55" i="3"/>
  <c r="E29" i="5"/>
  <c r="E41" i="5"/>
  <c r="D37" i="5"/>
  <c r="D41" i="5" s="1"/>
  <c r="F41" i="5"/>
  <c r="F59" i="5" l="1"/>
  <c r="I59" i="5"/>
  <c r="I51" i="5"/>
  <c r="K7" i="3"/>
  <c r="K63" i="3" s="1"/>
  <c r="M7" i="3"/>
  <c r="M63" i="3" s="1"/>
  <c r="F4" i="5"/>
  <c r="F29" i="5" s="1"/>
  <c r="K26" i="4"/>
  <c r="K28" i="4" s="1"/>
  <c r="K42" i="3"/>
  <c r="M42" i="3"/>
  <c r="E32" i="3"/>
  <c r="G61" i="5" l="1"/>
  <c r="F48" i="5"/>
  <c r="F53" i="5" s="1"/>
  <c r="K64" i="3"/>
  <c r="D4" i="5"/>
  <c r="D29" i="5" s="1"/>
  <c r="M64" i="3"/>
  <c r="I48" i="5" l="1"/>
  <c r="I53" i="5" l="1"/>
  <c r="I61" i="5" s="1"/>
  <c r="F6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tc={2FFD2B66-6E28-4C39-8B49-D936DB79C05B}</author>
    <author>tc={3545B8D9-FAA0-4E6F-ABCB-89B099A6B683}</author>
    <author>tc={CF902303-3805-4EDF-AF29-9552A7A62E53}</author>
    <author>tc={7D930CCE-C781-4E10-9BE4-FB5FBD071EFE}</author>
    <author>tc={B2390D9E-9200-428E-A809-6BA40A266D61}</author>
    <author>tc={20E66327-8C22-4340-96CA-FACD8AACFD9D}</author>
    <author>tc={70ED5EE1-282E-4361-A569-03904252DCF1}</author>
    <author>tc={AE1C84C5-9FF1-4010-B530-D5233F91F374}</author>
    <author>tc={8A15F31E-0869-4033-A40E-C196AE13BC6B}</author>
    <author>tc={75C1EE1F-4E34-417E-A2B6-A6BE9B9EB0B5}</author>
    <author>tc={A9F22682-4DAD-431A-9F6F-DE658B6476E3}</author>
    <author>tc={32D67C49-1129-4C58-AA33-AE015EA71F66}</author>
    <author>tc={72B972CC-E9C9-43DC-A7E6-FC8D8A31F8D1}</author>
    <author>tc={AFF7AE58-F478-4563-BB8A-69DAED0BA9D0}</author>
    <author>tc={7D2D09F3-4841-42FE-AF28-8F5DF7AE1312}</author>
    <author>tc={0E99D79E-375F-43CD-89A1-DCFBFD5B57A4}</author>
    <author>tc={BF6D2FF4-AC4A-4A24-A539-201CDB8982A3}</author>
    <author>tc={A9FFF21C-606E-460D-A285-007A824951BA}</author>
    <author>tc={6B23F81D-D4F6-4E35-B057-0BF9623E7223}</author>
    <author>tc={6781957A-2C0B-4D7C-8651-A954B7419AE0}</author>
    <author>tc={2DE856B9-1A93-46A0-83C0-BFEA4223F4AD}</author>
    <author>tc={FC009D14-8931-402F-807A-DE3ECD057D56}</author>
    <author>tc={9BBAFE4B-E302-4A94-AF34-2AD061C00F39}</author>
    <author>tc={5C6F36C0-8A1A-4351-BAA0-12B6D5D32023}</author>
    <author>tc={DDA86543-2AA0-4273-A8F3-CA5DE7F180EF}</author>
    <author>tc={615F965A-BDE4-4F60-9201-2E7E0D7EF4C9}</author>
    <author>tc={A56FEF3F-E579-4A28-9324-43DA51521E0C}</author>
    <author>tc={4341800D-DEE4-4ECA-9C95-A0449D956765}</author>
    <author>tc={38BA0F1F-4D89-49D2-87F3-2A7E2581F0D9}</author>
    <author>tc={8671759D-D5A9-428F-9B46-3FC9A771AF62}</author>
    <author>tc={A763CAD9-DC4D-46DB-BDDA-B0C223165E6B}</author>
    <author>tc={23853B2B-2E5D-4A7D-A8D6-1A3BEF6DCA17}</author>
  </authors>
  <commentList>
    <comment ref="D15" authorId="0" shapeId="0" xr:uid="{2FFD2B66-6E28-4C39-8B49-D936DB79C05B}">
      <text>
        <t>[Threaded comment]
Your version of Excel allows you to read this threaded comment; however, any edits to it will get removed if the file is opened in a newer version of Excel. Learn more: https://go.microsoft.com/fwlink/?linkid=870924
Comment:
    Algul oli plaanis 16 väravat rentida, aga renditi 18 (2 Paigaldati Saatsesse)</t>
      </text>
    </comment>
    <comment ref="E15" authorId="1" shapeId="0" xr:uid="{3545B8D9-FAA0-4E6F-ABCB-89B099A6B683}">
      <text>
        <t>[Threaded comment]
Your version of Excel allows you to read this threaded comment; however, any edits to it will get removed if the file is opened in a newer version of Excel. Learn more: https://go.microsoft.com/fwlink/?linkid=870924
Comment:
    16 väravat vahetatakse välja. Kokku soetatakse 20 uut väravat.</t>
      </text>
    </comment>
    <comment ref="E18" authorId="2" shapeId="0" xr:uid="{CF902303-3805-4EDF-AF29-9552A7A62E53}">
      <text>
        <t>[Threaded comment]
Your version of Excel allows you to read this threaded comment; however, any edits to it will get removed if the file is opened in a newer version of Excel. Learn more: https://go.microsoft.com/fwlink/?linkid=870924
Comment:
    Entire Eastern border</t>
      </text>
    </comment>
    <comment ref="E19" authorId="3" shapeId="0" xr:uid="{7D930CCE-C781-4E10-9BE4-FB5FBD071EFE}">
      <text>
        <t>[Threaded comment]
Your version of Excel allows you to read this threaded comment; however, any edits to it will get removed if the file is opened in a newer version of Excel. Learn more: https://go.microsoft.com/fwlink/?linkid=870924
Comment:
    KPK</t>
      </text>
    </comment>
    <comment ref="E20" authorId="4" shapeId="0" xr:uid="{B2390D9E-9200-428E-A809-6BA40A266D61}">
      <text>
        <t>[Threaded comment]
Your version of Excel allows you to read this threaded comment; however, any edits to it will get removed if the file is opened in a newer version of Excel. Learn more: https://go.microsoft.com/fwlink/?linkid=870924
Comment:
    Lighting in 6 BCPs will be adjusted</t>
      </text>
    </comment>
    <comment ref="D22" authorId="5" shapeId="0" xr:uid="{20E66327-8C22-4340-96CA-FACD8AACFD9D}">
      <text>
        <t>[Threaded comment]
Your version of Excel allows you to read this threaded comment; however, any edits to it will get removed if the file is opened in a newer version of Excel. Learn more: https://go.microsoft.com/fwlink/?linkid=870924
Comment:
    Oli plaanitud ainult Luhamaa</t>
      </text>
    </comment>
    <comment ref="E22" authorId="6" shapeId="0" xr:uid="{70ED5EE1-282E-4361-A569-03904252DCF1}">
      <text>
        <t>[Threaded comment]
Your version of Excel allows you to read this threaded comment; however, any edits to it will get removed if the file is opened in a newer version of Excel. Learn more: https://go.microsoft.com/fwlink/?linkid=870924
Comment:
    Oli plaanitud ainult Luhamaa</t>
      </text>
    </comment>
    <comment ref="D33" authorId="7" shapeId="0" xr:uid="{AE1C84C5-9FF1-4010-B530-D5233F91F374}">
      <text>
        <t>[Threaded comment]
Your version of Excel allows you to read this threaded comment; however, any edits to it will get removed if the file is opened in a newer version of Excel. Learn more: https://go.microsoft.com/fwlink/?linkid=870924
Comment:
    TATides ja toetulepingutes on suurem arv</t>
      </text>
    </comment>
    <comment ref="E33" authorId="8" shapeId="0" xr:uid="{8A15F31E-0869-4033-A40E-C196AE13BC6B}">
      <text>
        <t>[Threaded comment]
Your version of Excel allows you to read this threaded comment; however, any edits to it will get removed if the file is opened in a newer version of Excel. Learn more: https://go.microsoft.com/fwlink/?linkid=870924
Comment:
    Sõlmitu toetuslepingud ja TATId annavad kokku suurema numbri.</t>
      </text>
    </comment>
    <comment ref="E41" authorId="9" shapeId="0" xr:uid="{75C1EE1F-4E34-417E-A2B6-A6BE9B9EB0B5}">
      <text>
        <t>[Threaded comment]
Your version of Excel allows you to read this threaded comment; however, any edits to it will get removed if the file is opened in a newer version of Excel. Learn more: https://go.microsoft.com/fwlink/?linkid=870924
Comment:
    Same persons will be trained in both projects, but as these are different projects we need to count them twice.</t>
      </text>
    </comment>
    <comment ref="D45" authorId="10" shapeId="0" xr:uid="{A9F22682-4DAD-431A-9F6F-DE658B6476E3}">
      <text>
        <t>[Threaded comment]
Your version of Excel allows you to read this threaded comment; however, any edits to it will get removed if the file is opened in a newer version of Excel. Learn more: https://go.microsoft.com/fwlink/?linkid=870924
Comment:
    Tegelikkuses koolitati rohkem</t>
      </text>
    </comment>
    <comment ref="E45" authorId="11" shapeId="0" xr:uid="{32D67C49-1129-4C58-AA33-AE015EA71F66}">
      <text>
        <t>[Threaded comment]
Your version of Excel allows you to read this threaded comment; however, any edits to it will get removed if the file is opened in a newer version of Excel. Learn more: https://go.microsoft.com/fwlink/?linkid=870924
Comment:
    20 uut piirihaldusametnikku on planeeritu ületamine</t>
      </text>
    </comment>
    <comment ref="E51" authorId="12" shapeId="0" xr:uid="{72B972CC-E9C9-43DC-A7E6-FC8D8A31F8D1}">
      <text>
        <t>[Threaded comment]
Your version of Excel allows you to read this threaded comment; however, any edits to it will get removed if the file is opened in a newer version of Excel. Learn more: https://go.microsoft.com/fwlink/?linkid=870924
Comment:
    Same persons will be trained in both projects, but we need to count them twice, beacuse counting is per project.</t>
      </text>
    </comment>
    <comment ref="D56" authorId="13" shapeId="0" xr:uid="{AFF7AE58-F478-4563-BB8A-69DAED0BA9D0}">
      <text>
        <t>[Threaded comment]
Your version of Excel allows you to read this threaded comment; however, any edits to it will get removed if the file is opened in a newer version of Excel. Learn more: https://go.microsoft.com/fwlink/?linkid=870924
Comment:
    Algselt oli plaanis 4, kuna definitsioon on segane, siis TATidesse sai 2.</t>
      </text>
    </comment>
    <comment ref="D64" authorId="14" shapeId="0" xr:uid="{7D2D09F3-4841-42FE-AF28-8F5DF7AE1312}">
      <text>
        <t>[Threaded comment]
Your version of Excel allows you to read this threaded comment; however, any edits to it will get removed if the file is opened in a newer version of Excel. Learn more: https://go.microsoft.com/fwlink/?linkid=870924
Comment:
    EES, SIS, ETIAS, IO</t>
      </text>
    </comment>
    <comment ref="E64" authorId="15" shapeId="0" xr:uid="{0E99D79E-375F-43CD-89A1-DCFBFD5B57A4}">
      <text>
        <t>[Threaded comment]
Your version of Excel allows you to read this threaded comment; however, any edits to it will get removed if the file is opened in a newer version of Excel. Learn more: https://go.microsoft.com/fwlink/?linkid=870924
Comment:
    SIS, EES; ETIAS; IO</t>
      </text>
    </comment>
    <comment ref="E76" authorId="16" shapeId="0" xr:uid="{BF6D2FF4-AC4A-4A24-A539-201CDB8982A3}">
      <text>
        <t>[Threaded comment]
Your version of Excel allows you to read this threaded comment; however, any edits to it will get removed if the file is opened in a newer version of Excel. Learn more: https://go.microsoft.com/fwlink/?linkid=870924
Comment:
    IO</t>
      </text>
    </comment>
    <comment ref="E94" authorId="17" shapeId="0" xr:uid="{A9FFF21C-606E-460D-A285-007A824951BA}">
      <text>
        <t>[Threaded comment]
Your version of Excel allows you to read this threaded comment; however, any edits to it will get removed if the file is opened in a newer version of Excel. Learn more: https://go.microsoft.com/fwlink/?linkid=870924
Comment:
    102 soovitust tehti, millest 8 täitmisesse panustab BMVI</t>
      </text>
    </comment>
    <comment ref="E95" authorId="18" shapeId="0" xr:uid="{6B23F81D-D4F6-4E35-B057-0BF9623E7223}">
      <text>
        <t>[Threaded comment]
Your version of Excel allows you to read this threaded comment; however, any edits to it will get removed if the file is opened in a newer version of Excel. Learn more: https://go.microsoft.com/fwlink/?linkid=870924
Comment:
    Rec nr 79</t>
      </text>
    </comment>
    <comment ref="E96" authorId="19" shapeId="0" xr:uid="{6781957A-2C0B-4D7C-8651-A954B7419AE0}">
      <text>
        <t>[Threaded comment]
Your version of Excel allows you to read this threaded comment; however, any edits to it will get removed if the file is opened in a newer version of Excel. Learn more: https://go.microsoft.com/fwlink/?linkid=870924
Comment:
    Rec No 79</t>
      </text>
    </comment>
    <comment ref="E97" authorId="20" shapeId="0" xr:uid="{2DE856B9-1A93-46A0-83C0-BFEA4223F4AD}">
      <text>
        <t>[Threaded comment]
Your version of Excel allows you to read this threaded comment; however, any edits to it will get removed if the file is opened in a newer version of Excel. Learn more: https://go.microsoft.com/fwlink/?linkid=870924
Comment:
    Rec no 79</t>
      </text>
    </comment>
    <comment ref="E98" authorId="21" shapeId="0" xr:uid="{FC009D14-8931-402F-807A-DE3ECD057D56}">
      <text>
        <t>[Threaded comment]
Your version of Excel allows you to read this threaded comment; however, any edits to it will get removed if the file is opened in a newer version of Excel. Learn more: https://go.microsoft.com/fwlink/?linkid=870924
Comment:
    REC no 86 and 87</t>
      </text>
    </comment>
    <comment ref="E99" authorId="22" shapeId="0" xr:uid="{9BBAFE4B-E302-4A94-AF34-2AD061C00F39}">
      <text>
        <t>[Threaded comment]
Your version of Excel allows you to read this threaded comment; however, any edits to it will get removed if the file is opened in a newer version of Excel. Learn more: https://go.microsoft.com/fwlink/?linkid=870924
Comment:
    79, 80</t>
      </text>
    </comment>
    <comment ref="E100" authorId="23" shapeId="0" xr:uid="{5C6F36C0-8A1A-4351-BAA0-12B6D5D32023}">
      <text>
        <t>[Threaded comment]
Your version of Excel allows you to read this threaded comment; however, any edits to it will get removed if the file is opened in a newer version of Excel. Learn more: https://go.microsoft.com/fwlink/?linkid=870924
Comment:
    79, 80</t>
      </text>
    </comment>
    <comment ref="E101" authorId="24" shapeId="0" xr:uid="{DDA86543-2AA0-4273-A8F3-CA5DE7F180EF}">
      <text>
        <t>[Threaded comment]
Your version of Excel allows you to read this threaded comment; however, any edits to it will get removed if the file is opened in a newer version of Excel. Learn more: https://go.microsoft.com/fwlink/?linkid=870924
Comment:
    Rec no 18, 19, 21, 22,  27, 28, 30</t>
      </text>
    </comment>
    <comment ref="E102" authorId="25" shapeId="0" xr:uid="{615F965A-BDE4-4F60-9201-2E7E0D7EF4C9}">
      <text>
        <t>[Threaded comment]
Your version of Excel allows you to read this threaded comment; however, any edits to it will get removed if the file is opened in a newer version of Excel. Learn more: https://go.microsoft.com/fwlink/?linkid=870924
Comment:
    20 uut piirihaldusametnikku on over achievement</t>
      </text>
    </comment>
    <comment ref="E116" authorId="26" shapeId="0" xr:uid="{A56FEF3F-E579-4A28-9324-43DA51521E0C}">
      <text>
        <t>[Threaded comment]
Your version of Excel allows you to read this threaded comment; however, any edits to it will get removed if the file is opened in a newer version of Excel. Learn more: https://go.microsoft.com/fwlink/?linkid=870924
Comment:
    Algselt oli 3, kuid sõrmejäleskännerite soetuse projekt jääb ära.</t>
      </text>
    </comment>
    <comment ref="E124" authorId="27" shapeId="0" xr:uid="{4341800D-DEE4-4ECA-9C95-A0449D956765}">
      <text>
        <t>[Threaded comment]
Your version of Excel allows you to read this threaded comment; however, any edits to it will get removed if the file is opened in a newer version of Excel. Learn more: https://go.microsoft.com/fwlink/?linkid=870924
Comment:
    VäMi tegevustoetus</t>
      </text>
    </comment>
    <comment ref="E130" authorId="28" shapeId="0" xr:uid="{38BA0F1F-4D89-49D2-87F3-2A7E2581F0D9}">
      <text>
        <t>[Threaded comment]
Your version of Excel allows you to read this threaded comment; however, any edits to it will get removed if the file is opened in a newer version of Excel. Learn more: https://go.microsoft.com/fwlink/?linkid=870924
Comment:
    VIS</t>
      </text>
    </comment>
    <comment ref="E141" authorId="29" shapeId="0" xr:uid="{8671759D-D5A9-428F-9B46-3FC9A771AF62}">
      <text>
        <t>[Threaded comment]
Your version of Excel allows you to read this threaded comment; however, any edits to it will get removed if the file is opened in a newer version of Excel. Learn more: https://go.microsoft.com/fwlink/?linkid=870924
Comment:
    Oli 20, aga VäM ei osta seadmeid</t>
      </text>
    </comment>
    <comment ref="E143" authorId="30" shapeId="0" xr:uid="{A763CAD9-DC4D-46DB-BDDA-B0C223165E6B}">
      <text>
        <t>[Threaded comment]
Your version of Excel allows you to read this threaded comment; however, any edits to it will get removed if the file is opened in a newer version of Excel. Learn more: https://go.microsoft.com/fwlink/?linkid=870924
Comment:
    Rec no 65, 67, 69, 71, 84, 100</t>
      </text>
    </comment>
    <comment ref="E144" authorId="31" shapeId="0" xr:uid="{23853B2B-2E5D-4A7D-A8D6-1A3BEF6DCA17}">
      <text>
        <t>[Threaded comment]
Your version of Excel allows you to read this threaded comment; however, any edits to it will get removed if the file is opened in a newer version of Excel. Learn more: https://go.microsoft.com/fwlink/?linkid=870924
Comment:
    No 56 ja 60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tc={A1702E05-08BE-485B-83E9-B19823C4F6A0}</author>
  </authors>
  <commentList>
    <comment ref="B21" authorId="0" shapeId="0" xr:uid="{A1702E05-08BE-485B-83E9-B19823C4F6A0}">
      <text>
        <t>[Threaded comment]
Your version of Excel allows you to read this threaded comment; however, any edits to it will get removed if the file is opened in a newer version of Excel. Learn more: https://go.microsoft.com/fwlink/?linkid=870924
Comment:
    I would like to delete this row and incorporate the info under data quality</t>
      </text>
    </comment>
  </commentList>
</comments>
</file>

<file path=xl/sharedStrings.xml><?xml version="1.0" encoding="utf-8"?>
<sst xmlns="http://schemas.openxmlformats.org/spreadsheetml/2006/main" count="1674" uniqueCount="770">
  <si>
    <t>Poliitikaeesmärk</t>
  </si>
  <si>
    <t>EL toetuse määr, %</t>
  </si>
  <si>
    <t xml:space="preserve"> algtase (2020)</t>
  </si>
  <si>
    <t>PPA</t>
  </si>
  <si>
    <t>VäM</t>
  </si>
  <si>
    <t>1. toetada Euroopa piiri- ja rannikuvalve poolt välispiiridel rakendatavat tõhusat Euroopa integreeritud piirihaldust, mille eest jagavad vastutust Euroopa Piiri- ja Rannikuvalve Amet ning piirihalduse eest vastutavad riiklikud asutused, et hõlbustada seaduslikku piiriületust, ennetada ja avastada ebaseaduslikku sisserännet ja piiriülest kuritegevust ning hallata tõhusalt rändevooge</t>
  </si>
  <si>
    <t xml:space="preserve">a) piirikontrolli tugevdamine kooskõlas määruse (EL) 2019/1896 artikli 3 lõike 1 punktiga a:
i) suurendades suutlikkust teha välispiiridel kontrolle ja seiret, sealhulgas tugevdades meetmeid seadusliku piiriületuse lihtsustamiseks ja, kui see on asjakohane, meetmeid,
— mis on seotud piiriülese kuritegevuse, eelkõige rändajate ebaseadusliku üle piiri toimetamise,
inimkaubanduse ja terrorismi ennetamise ja avastamisega välispiiridel;
— mis on seotud pidevalt kõrge rändetaseme haldamisega välispiiridel, sealhulgas tehnilise ja operatiivtoe
kaudu, ning mehhanisme ja menetlusi haavatavate isikute ja saatjata alaealiste tuvastamiseks ning rahvusvahelist kaitset vajavate või seda taotleda soovivate isikute tuvastamiseks, samuti suutlikkust anda sellistele isikutele teavet ja neid edasi suunata;
ii) rakendades Schengeni alal piirikontrolliga seotud tehnilisi ja operatiivmeetmeid, samal ajal säilitades inimeste vaba liikumise selle piires;
iii) analüüsides sisejulgeolekuohte ja selliseid ohte, mis võivad mõjutada välispiiride toimimist või turvalisust;
</t>
  </si>
  <si>
    <t>b) Euroopa piiri- ja rannikuvalve arendamine, toetades piirihalduse eest vastutavaid riiklikke ametiasutusi meetmete võtmisel, mis on seotud võimearendusega, ühise suutlikkuse suurendamisega, ühishangetega ja ühiste standardite kehtestamisega ning muude meetmete võtmisel, mille eesmärk on ühtlustada liikmesriikide ning Euroopa Piiri- ja Rannikuvalve Ameti vahelist koostööd ja koordineerimist;</t>
  </si>
  <si>
    <t>c) riigi tasandil koostöö tõhustamine piirikontrolli või piiril täidetavate ülesannete eest vastutavate riiklike ametiasutuste vahel ning tõhustatud koostöö liidu tasandil kas liikmesriikide vahel või ühelt poolt liikmesriikide ja teiselt poolt asjaomaste liidu organite, ametite ja asutuste või kolmandate riikide vahel;</t>
  </si>
  <si>
    <t>d) välispiire käsitleva liidu acquis’ ühtse kohaldamise tagamine, sealhulgas rakendades soovitusi, mis on antud selliste
kvaliteedikontrolli mehhanismide raames nagu määruse (EL) nr 1053/2013 kohane Schengeni hindamismehhanism,
määruse (EL) 2019/1896 kohased haavatavuse hindamised ja riiklikud kvaliteedikontrolli mehhanismid;</t>
  </si>
  <si>
    <t>e) piirihalduse valdkonnas suuremahuliste IT-süsteemide ja eelkõige SISi, ETIASe, EESi ja Eurodaci loomine, käitamine ja hooldamine piirihalduse eesmärgil vastavalt liidu õigusele, sealhulgas selliste suuremahuliste IT-süsteemide ja
nende sidetaristu koostalitlusvõime, ning meetmed andmete kvaliteedi ja teabe esitamise parandamiseks;</t>
  </si>
  <si>
    <t>d) liikmesriikide viisataotluste menetlemise alase koostöö eri vormide arendamine;</t>
  </si>
  <si>
    <t>001 Piirikontrollid</t>
  </si>
  <si>
    <t>003 Piirivalve - maismaavarustus</t>
  </si>
  <si>
    <t>026 Tegevustoetus - integreeritud piirihaldus</t>
  </si>
  <si>
    <t>014 Euroopa piiri- ja rannikuvalve arendamine</t>
  </si>
  <si>
    <t xml:space="preserve">024 Suuremahulised IT-süsteemid - Schengeni infosüsteem (SIS) </t>
  </si>
  <si>
    <t>025 Suuremahulised IT-süsteemid - koostalitlusvõime</t>
  </si>
  <si>
    <t>027 Tegevustoetus - suuremahulised IT-süsteemid piirihalduseks</t>
  </si>
  <si>
    <t>001 Viisataotluste menetlemise parandamine</t>
  </si>
  <si>
    <t>004 Konsulaarkoostöö</t>
  </si>
  <si>
    <t>007 Muud IKT-süsteemid viisataotluste töötlemiseks</t>
  </si>
  <si>
    <t>006 Suuremahulised IT-süsteemid - viisainfosüsteem (VIS)</t>
  </si>
  <si>
    <t>Toetatud osalejate arv</t>
  </si>
  <si>
    <t>Välja töötatud/hooldatud/ajakohastatud suuremahuliste IT-süsteemide arv</t>
  </si>
  <si>
    <t>Liikmesriikide vahel viisataotluste menetlemisel alustatud/tõhustatud koostöövormide arv</t>
  </si>
  <si>
    <t>Nende osalejate arv, kes teatavad kolm kuud pärast koolitust, et nad kasutavad koolituse käigus omandatud oskusi ja
pädevust.</t>
  </si>
  <si>
    <t>Piiripunktide jaoks ostetud seadmete arv</t>
  </si>
  <si>
    <t>Ostetud maismaatranspordivahendite arv</t>
  </si>
  <si>
    <t>a) Euroopa Piiri- ja Rannikuvalve Ameti tehniliste seadmete reservis registreeritud seadmete arv. b) Euroopa Piiri- ja Rannikuvalve Ameti käsutusse antud seadmete arv.</t>
  </si>
  <si>
    <t>KOKKU</t>
  </si>
  <si>
    <t>006 Piirivalve - muud meetmed</t>
  </si>
  <si>
    <t>Ehitatud/ajakohastatud piiripunktirajatiste arv</t>
  </si>
  <si>
    <t>algtase</t>
  </si>
  <si>
    <t>002 Piirivalve - õhuvarustus</t>
  </si>
  <si>
    <t>Ostetud õhusõidukite arv, millest omakorda ostetud mehitamata õhusõidukite arv</t>
  </si>
  <si>
    <t>a) 26, b) 26</t>
  </si>
  <si>
    <t>Hooldatud/parandatud taristuosade arv.</t>
  </si>
  <si>
    <t>Nende osalejate arv, kes teatavad kolm kuud pärast koolitust, et nad kasutavad koolituse käigus omandatud oskusi ja pädevust.</t>
  </si>
  <si>
    <t>Tegvuse eelarve kokku</t>
  </si>
  <si>
    <t>EL toetus (eurodes)</t>
  </si>
  <si>
    <t>Riiklik kaasfinantseering (eurodes)</t>
  </si>
  <si>
    <t>Elluviija</t>
  </si>
  <si>
    <t>Mõõtühik</t>
  </si>
  <si>
    <t>2029                                                                                           Sihttase</t>
  </si>
  <si>
    <t>1.1. Asjakohase varustuse uuendamise ja kasutamise kaudu Euroopa piiri- ja rannikuvalve toetamine välispiiridel tõhusa Euroopa integreeritud piirihalduse rakendamisel</t>
  </si>
  <si>
    <t>1.3. Koolitamise ja koostöö kaudu Euroopa piiri- ja rannikuvalve toetamine välispiiridel tõhusa Euroopa integreeritud piirihalduse rakendamisel</t>
  </si>
  <si>
    <t>1.2. IKT-süsteemide loomise ja kasutamise kaudu Euroopa piiri- ja rannikuvalve toetamine välispiiridel tõhusa Euroopa integreeritud piirihalduse rakendamisel</t>
  </si>
  <si>
    <t>ei kohaldu</t>
  </si>
  <si>
    <t>SMIT</t>
  </si>
  <si>
    <t>arv</t>
  </si>
  <si>
    <t>DROONIDE SOETAMINE</t>
  </si>
  <si>
    <t>MTA</t>
  </si>
  <si>
    <t>2.2 IKT-süsteemide ja rakenduste loomise ning kasutamise kaudu ühise viisapoliitika toetamine</t>
  </si>
  <si>
    <t>2.3 Koolituste ja koostöö kaudu ühise viisapoliitika toetamine</t>
  </si>
  <si>
    <t>1.4. Erimeede 1: BMVI/2021-2022/SA/1.2.1/003 - Autonoomse ja mobiilse kaugseire võimekuse tõstmine</t>
  </si>
  <si>
    <t>1.5. Erimeede 2: BMVI/2021/SA/1.5.4/008 - Koostalitlusvõime määruse rakendamise toetamine</t>
  </si>
  <si>
    <t>ERIMEETMED</t>
  </si>
  <si>
    <t>Riikliku kaas- finantseeringu määr, %</t>
  </si>
  <si>
    <t>EL toetus</t>
  </si>
  <si>
    <t>Rakendusmeetme nimetus määruse EL2021/11148 lisa II tähenduses</t>
  </si>
  <si>
    <t xml:space="preserve">Sekkumisvaldkonna kood määruse EL 2021/1148 lisa VI tähenduses (meetme tegevus)
</t>
  </si>
  <si>
    <t>Tegevus</t>
  </si>
  <si>
    <t>Määruse EL 2021/1148 väljundnäitaja</t>
  </si>
  <si>
    <t xml:space="preserve">Vahetase 2024          </t>
  </si>
  <si>
    <t>Sihttase 2029</t>
  </si>
  <si>
    <t>EL 2021/1148 määruse tulemusnäitaja</t>
  </si>
  <si>
    <t>TEHNIILINE ABI</t>
  </si>
  <si>
    <t>TAT ehk meede (SFOSis meetme tegevus)/erimeetme projekt</t>
  </si>
  <si>
    <t>oma- finantseering (eurodes)</t>
  </si>
  <si>
    <t>Kaasfinantseering</t>
  </si>
  <si>
    <t>Erieesmärk (SO)</t>
  </si>
  <si>
    <t xml:space="preserve">SO 1 </t>
  </si>
  <si>
    <t>Algne SO 1</t>
  </si>
  <si>
    <t>PIIRIHALDUSE JA VIISAPOLIITIKA RAHASTU 2021-2027 RAHASTAMISKAVA</t>
  </si>
  <si>
    <t>KF</t>
  </si>
  <si>
    <t>TAT/erimeetme projekti eelarve kokku (EL toetus + kaasfinantseering)</t>
  </si>
  <si>
    <t>a) piirikontrolli tugevdamine kooskõlas määruse (EL) 2019/1896 artikli 3 lõike 1 punktiga a:
i) suurendades suutlikkust teha välispiiridel kontrolle ja seiret, sealhulgas tugevdades meetmeid seadusliku piiriületuse lihtsustamiseks</t>
  </si>
  <si>
    <t>e) piirihalduse valdkonnas suuremahuliste IT-süsteemide ja eelkõige SISi, ETIASe, EESi ja Eurodaci loomine, käitamine ja hooldamine piirihalduse eesmärgil vastavalt liidu õigusele, sealhulgas selliste suuremahuliste IT-süsteemide ja
nende sidetaristu koostalitlusvõime, ning meetmed andmete kvaliteedi ja teabe esitamise parandamiseks</t>
  </si>
  <si>
    <t>1.4 Toetuslepingu maht</t>
  </si>
  <si>
    <t>1.5 Toetuslepingu maht</t>
  </si>
  <si>
    <t>RAHASTAMISKAVA MAHT</t>
  </si>
  <si>
    <t>a) Toetatud osalejate arv, b) millest omakorda
koolitustegevuses osalejate arv</t>
  </si>
  <si>
    <t>a) Toetatud osalejate arv, b) millest omakorda
 koolitustegevuses osalejate arv.</t>
  </si>
  <si>
    <t>a) Toetatud osalejate arv, b) millest omakorda
koolitustegevuses osalejate arv.</t>
  </si>
  <si>
    <t>a) Toetatud osalejate arv, b) millest omakorda koolitustegevuses osalejate arv</t>
  </si>
  <si>
    <t>1.6. Erimeede 3: BMVI/2021/SA/1.5.7/003- iSPoC + analüüs</t>
  </si>
  <si>
    <t>1.6 Toetuslepingu maht</t>
  </si>
  <si>
    <t>1.7. Toetuslepingu maht</t>
  </si>
  <si>
    <t>a) 13, b) 13</t>
  </si>
  <si>
    <t>a) 2, b) 2</t>
  </si>
  <si>
    <t>a) 4, b) 4</t>
  </si>
  <si>
    <t>a) 0, b) 0</t>
  </si>
  <si>
    <t>a) 20, b) 20</t>
  </si>
  <si>
    <t>a) 345, b) 345</t>
  </si>
  <si>
    <t>a) 50, b) 50</t>
  </si>
  <si>
    <t>a) 4, b) 6, c) 4</t>
  </si>
  <si>
    <t>a) 1, b) 1</t>
  </si>
  <si>
    <t>a) arv, b) arv</t>
  </si>
  <si>
    <t>a) Euroopa Piiri- ja Rannikuvalve Ameti tehniliste seadmete reservis registreeritud seadmete arv, b) Euroopa Piiri- ja Rannikuvalve Ameti käsutusse antud seadmete arv.</t>
  </si>
  <si>
    <t>1.7. Erimeede 4: BMVI/2023-2024/SA/1.2.2/01- Maismaapiiri patrullivõimekuse tõstmine</t>
  </si>
  <si>
    <t>a) 70, b)70</t>
  </si>
  <si>
    <t>a) 60, b) 60</t>
  </si>
  <si>
    <t>Tagada tugev ja tõhus Euroopa integreeritud piirihaldus välispiiridel, aidates seeläbi tagada liidus kõrgetasemelise sisejulgeoleku, samal ajal kaitstes inimeste vaba liikumist liidu piires, ning järgides täielikult asjaomast liidu acquis’d ning liidu ja liikmesriikide rahvusvahelisi kohustusi, mis tulenevad rahvusvahelistest lepingutest, mille osalised nad on.</t>
  </si>
  <si>
    <t>LUHAMAA JUHTIMISPUNKTI PROJEKTEERIMINE JA EKSPERTIIS</t>
  </si>
  <si>
    <t xml:space="preserve">1.8. Toetuslepingu maht </t>
  </si>
  <si>
    <t>1.9 Toetuslepingu maht</t>
  </si>
  <si>
    <t>024 Suuremahulised IT-süsteemid – Schengeni infosüsteem (SIS)</t>
  </si>
  <si>
    <t>1.9. Erimeede 6: BMVI/2024/SA/1.5.1/001 - Smart Borders 2024+, II osa:SIS</t>
  </si>
  <si>
    <t>1.8. Erimeede 5: BMVI/2024/SA/1.5.1/001 - Smart Borders 2024+, I osa: EES/ETIAS</t>
  </si>
  <si>
    <t>a) Välja töötatud/hooldatud/ajakohastatud IT-funktsioonide arv, b) Välja töötatud/hooldatud/ajakohastatud suuremahuliste IT-süsteemide arv, c) millest omakorda väljatöötatud suuremahuliste IT-süsteemide arv, d) Toetatud osalejate arv, e) millest omakorda koolitustegevuses osalejate arv</t>
  </si>
  <si>
    <t>021 Suuremahulised IT-süsteemid – Euroopa reisiinfo ja -lubade süsteem (ETIAS) – muu</t>
  </si>
  <si>
    <t>NARVA JÕE SEIRE JA JUHTIMISKESKUSE TEHNIKA SOETUS</t>
  </si>
  <si>
    <t>1.10. Erimeede 7: BMVI/2024/SA/1.4.2/002 - Piirivalvevõimekuse suurendamine välispiiril</t>
  </si>
  <si>
    <t>1.10 Toetuslepingu maht</t>
  </si>
  <si>
    <t>1.11. Erimeede 8: BMVI/2024/SA/1.1.5/001 - Mitmekihilise droonituvastuse- ja -tõrjepositsiooni piloteerimine</t>
  </si>
  <si>
    <t>Tegevuste maht kokku</t>
  </si>
  <si>
    <t>a) 4, b) 2</t>
  </si>
  <si>
    <t>Piirihalduse valdkonnas läbi viidud Schengeni hindamiste ja haavatavuse hindamiste tulemusel esitatud soovituste arv, mida on arvesse võetud</t>
  </si>
  <si>
    <t>021 Suuremahulised IT-süsteemid piirihalduseks - ETIAS muu</t>
  </si>
  <si>
    <t>a) Piiripunktide jaoks ostetud seadmete arv, b) väljatöötatud/hooldatud/ajakohastatud IT-funktsioonide arv</t>
  </si>
  <si>
    <t>a) Piiripunktide jaoks ostetud seadmete arv, b) Toetatud osalejate arv, c) millest omakorda koolitustegevuses osalejate arv</t>
  </si>
  <si>
    <t>a) 8, b) 6, c) 6</t>
  </si>
  <si>
    <t>a)115, b) 2</t>
  </si>
  <si>
    <t>005 Piirivalve - automaatsed piirivalvesüsteemid</t>
  </si>
  <si>
    <t>013 Rahvusvahelist kaitset vajavate või seda taotleda soovivate isikute tuvastamise ja edasisuunamisega seotud meetmed</t>
  </si>
  <si>
    <t>1.14. Toetuslepingute maht</t>
  </si>
  <si>
    <t>a) Piiripunktide jaoks ostetud seadmete arv, b) Välja töötatud/hooldatud/ajakohastatud IT-funktsioonide arv</t>
  </si>
  <si>
    <t xml:space="preserve">SO 1 koos EK otsustatud erimeetmete, vahehindamise lisaraha ja SAC eraldisega </t>
  </si>
  <si>
    <t>Algne SO2</t>
  </si>
  <si>
    <t>SO 2 koos vahenindamise lisaeraldisega</t>
  </si>
  <si>
    <t>2. toetada ühist viisapoliitikat, et tagada ühtlustatud lähenemisviis viisade väljastamisele ja hõlbustada õiguspärast reisimist, aidates samal ajal ennetada rände- ja julgeolekuriske.</t>
  </si>
  <si>
    <t>008 Tegevustoetus-ühine viisapoliitika</t>
  </si>
  <si>
    <t>TEGEVUSTOETUS: viisamenetluse tõhustamine</t>
  </si>
  <si>
    <t>b) liikmesriikide toetamine viisade väljastamisel, sealhulgas määruse (EÜ) nr 810/2009 artiklis 25 osutatud piiratud territoriaalse kehtivusega viisade puhul, mida väljastatakse humanitaarkaalutlustel, riiklikes huvides või rahvusvaheliste kohustuste tõttu; e) ühise viisapoliitika valdkonnas suuremahuliste IT-süsteemide ja eelkõige VISi loomine, käitamine ja hooldamine vastavalt liidu õigusele, sealhulgas selliste suuremahuliste IT-süsteemide ja nende sidetaristu koostalitlusvõime, ning meetmed andmete kvaliteedi ja teabe esitamise parandamiseks.</t>
  </si>
  <si>
    <t xml:space="preserve"> Piirihalduse valdkonnas läbi viidud Schengeni hindamiste ja haavatavuse hindamiste tulemusel esitatud soovituste arv, mida on arvesse võetud.</t>
  </si>
  <si>
    <t xml:space="preserve"> Viisapoliitika valdkonnas läbi viidud Schengeni hindamiste ja haavatavuse hindamiste tulemusel esitatud soovituste arv, mida on arvesse võetud.</t>
  </si>
  <si>
    <t>Piirihalduse valdkonnas läbi viidud Schengeni hindamiste ja haavatavuse hindamiste tulemusel esitatud soovituste arv, mida on arvesse võetud.</t>
  </si>
  <si>
    <t>Piiripunktide jaoks ostetud seadmete arv, millest omakorda
ostetud automaatse piirikontrolli süsteemide/iseteenindussüsteemide/e-väravate arv</t>
  </si>
  <si>
    <t>a) 8, b) 70</t>
  </si>
  <si>
    <t>a) 89, b) 1</t>
  </si>
  <si>
    <t>SO</t>
  </si>
  <si>
    <t>Intervention type</t>
  </si>
  <si>
    <t>code</t>
  </si>
  <si>
    <t>TOTAL</t>
  </si>
  <si>
    <t>EU support</t>
  </si>
  <si>
    <t>national co-financing</t>
  </si>
  <si>
    <t>SO1</t>
  </si>
  <si>
    <t>SO2</t>
  </si>
  <si>
    <t>Type of action</t>
  </si>
  <si>
    <t>Liidu toetuse arvutamise alus (kogusumma või avalik sektor)</t>
  </si>
  <si>
    <t>EU support (a)</t>
  </si>
  <si>
    <t>Liikmesriigiosalus (b)=(c)+(d)</t>
  </si>
  <si>
    <t>Liikmesriigi osaluse esialgne jaotus</t>
  </si>
  <si>
    <t>Kokku</t>
  </si>
  <si>
    <t>avalik c)</t>
  </si>
  <si>
    <t>erasektor (d)</t>
  </si>
  <si>
    <t>e=(a)+(b)</t>
  </si>
  <si>
    <r>
      <t xml:space="preserve">SO </t>
    </r>
    <r>
      <rPr>
        <sz val="10"/>
        <color theme="1"/>
        <rFont val="Times New Roman"/>
        <family val="1"/>
        <charset val="186"/>
      </rPr>
      <t>1</t>
    </r>
  </si>
  <si>
    <t>Regular actions</t>
  </si>
  <si>
    <t>Specific actions</t>
  </si>
  <si>
    <t>Annex IV actions</t>
  </si>
  <si>
    <t>SO 1 TOTAL</t>
  </si>
  <si>
    <t>SO 2</t>
  </si>
  <si>
    <t>Operating support</t>
  </si>
  <si>
    <t>SO 2 TOTAL</t>
  </si>
  <si>
    <t xml:space="preserve">Technical assistance CPR art 36 (5) </t>
  </si>
  <si>
    <t>GRAND TOTAL</t>
  </si>
  <si>
    <t>002 Piirivalve – õhuvarustus</t>
  </si>
  <si>
    <t>003 Piirivalve – maismaavarustus</t>
  </si>
  <si>
    <t>004 Piirivalve – merevarustus</t>
  </si>
  <si>
    <t>005 Piirivalve – automaatsed piirivalvesüsteemid</t>
  </si>
  <si>
    <t>006 Piirivalve – muud meetmed</t>
  </si>
  <si>
    <t>007 Piirikontrolliga seotud tehnilised ja operatiivmeetmed Schengeni alal</t>
  </si>
  <si>
    <t>008 Olukorrateadlikkus ja teabevahetus</t>
  </si>
  <si>
    <t>009 Riskianalüüs</t>
  </si>
  <si>
    <t>010 Andmete ja teabe töötlemine</t>
  </si>
  <si>
    <t>011 Esmase vastuvõtu piirkonnad</t>
  </si>
  <si>
    <t>012 Haavatavate isikute tuvastamise ja edasisuunamisega seotud meetmed</t>
  </si>
  <si>
    <t>015 Asutustevaheline koostöö – liikmesriigi tasand</t>
  </si>
  <si>
    <t>016 Asutustevaheline koostöö – liidu tasand</t>
  </si>
  <si>
    <t>017 Asutustevaheline koostöö – kolmandate riikidega</t>
  </si>
  <si>
    <t>018 Sisserändeküsimustega tegelevate kontaktametnike ühine lähetamine</t>
  </si>
  <si>
    <t>019 Suuremahulised IT-süsteemid – Eurodac piiride haldamiseks</t>
  </si>
  <si>
    <t>020 Suuremahulised IT-süsteemid – riiki sisenemise ja riigist lahkumise süsteem (EES)</t>
  </si>
  <si>
    <t>022 Suuremahulised IT-süsteemid – ELi reisiinfo ja -lubade süsteem (ETIAS) – määruse (EL) 2018/1240 artikli 85 lõige 2</t>
  </si>
  <si>
    <t>023 Suuremahulised IT-süsteemid – ELi reisiinfo ja -lubade süsteem (ETIAS) – määruse (EL) 2018/1240 artikli 85 lõige 3</t>
  </si>
  <si>
    <t>025 Suuremahulised IT-süsteemid – koostalitlusvõime</t>
  </si>
  <si>
    <t>026 Tegevustoetus – integreeritud piirihaldus</t>
  </si>
  <si>
    <t>027 Tegevustoetus – suuremahulised IT-süsteemid piirihalduseks</t>
  </si>
  <si>
    <t>002 Konsulaatide töö tõhustamine ning nende kliendisõbralikkuse ja turvalisuse suurendamine</t>
  </si>
  <si>
    <t>003 Dokumentide turvalisus/dokumendinõustajad</t>
  </si>
  <si>
    <t>005 Konsulaaresinduste võrk</t>
  </si>
  <si>
    <t>006 Suuremahulised IT-süsteemid – viisainfosüsteem (VIS)</t>
  </si>
  <si>
    <t>008 Tegevustoetus – ühine viisapoliitika</t>
  </si>
  <si>
    <t>Regular actions (art 12 lg 1)</t>
  </si>
  <si>
    <t>Specific actions (erimeede)</t>
  </si>
  <si>
    <t>Operating Support (tegevustoetus)</t>
  </si>
  <si>
    <t>ETIAS regulation Art 85(2) ja (3)  (art 12 lg 5)</t>
  </si>
  <si>
    <t>Annex IV actions (IV lisa) (IO, FX)</t>
  </si>
  <si>
    <t>Nr</t>
  </si>
  <si>
    <t>Specific objective</t>
  </si>
  <si>
    <t>Type of indicator</t>
  </si>
  <si>
    <t>Output indicator</t>
  </si>
  <si>
    <t>Result indicator</t>
  </si>
  <si>
    <t>Indicator code</t>
  </si>
  <si>
    <t>O.1.1</t>
  </si>
  <si>
    <t>O.1.1.1</t>
  </si>
  <si>
    <t>O.1.3</t>
  </si>
  <si>
    <t>O.1.4</t>
  </si>
  <si>
    <t>O.1.5</t>
  </si>
  <si>
    <t>O.1.5.1</t>
  </si>
  <si>
    <t>O.1.6</t>
  </si>
  <si>
    <t>O.1.7</t>
  </si>
  <si>
    <t>O.1.8</t>
  </si>
  <si>
    <t>O1.8.1</t>
  </si>
  <si>
    <t>O.1.9</t>
  </si>
  <si>
    <t>O.1.10</t>
  </si>
  <si>
    <t>O.1.11</t>
  </si>
  <si>
    <t>O.1.11.1</t>
  </si>
  <si>
    <t>O.1.12</t>
  </si>
  <si>
    <t>O.1.13</t>
  </si>
  <si>
    <t>R.1.14</t>
  </si>
  <si>
    <t>R.1.15</t>
  </si>
  <si>
    <t>R.1.16</t>
  </si>
  <si>
    <t>R.1.17</t>
  </si>
  <si>
    <t>R.1.18</t>
  </si>
  <si>
    <t>R.1.19</t>
  </si>
  <si>
    <t>R.1.20</t>
  </si>
  <si>
    <t>O.2.1</t>
  </si>
  <si>
    <t>O.2.2</t>
  </si>
  <si>
    <t>O.2.2.1</t>
  </si>
  <si>
    <t>O.2.3</t>
  </si>
  <si>
    <t>O2.3.1</t>
  </si>
  <si>
    <t>O.2.4</t>
  </si>
  <si>
    <t>O.2.5</t>
  </si>
  <si>
    <t>O2.5.1</t>
  </si>
  <si>
    <t>O.2.6</t>
  </si>
  <si>
    <t>O.2.7</t>
  </si>
  <si>
    <t>R.2.8</t>
  </si>
  <si>
    <t>R.2.8.1</t>
  </si>
  <si>
    <t>R.2.9</t>
  </si>
  <si>
    <t>R.2.10</t>
  </si>
  <si>
    <t>R.2.11</t>
  </si>
  <si>
    <t>R.2.12</t>
  </si>
  <si>
    <t xml:space="preserve">Indicator name </t>
  </si>
  <si>
    <t>Number of items of equipment purchased for border crossing points</t>
  </si>
  <si>
    <t xml:space="preserve">of which number of Automated Border Control gates/self-service systems /e-gates purchased </t>
  </si>
  <si>
    <t>Number of items of infrastructure maintained/repaired</t>
  </si>
  <si>
    <t>Number of hotspot areas supported</t>
  </si>
  <si>
    <t>Number of facilities for border crossing points constructed/upgraded</t>
  </si>
  <si>
    <t xml:space="preserve">Number of aerial vehicles purchased </t>
  </si>
  <si>
    <t>of which number of unmanned aerial vehicles purchased</t>
  </si>
  <si>
    <t>Number of maritime transport means purchased</t>
  </si>
  <si>
    <t xml:space="preserve">Number of land transport means purchased </t>
  </si>
  <si>
    <t>Number of participants supported</t>
  </si>
  <si>
    <t>of which number of participants in training activities</t>
  </si>
  <si>
    <t>Number of immigration officers deployed to third countries</t>
  </si>
  <si>
    <t xml:space="preserve">Number of IT functionalities developed/maintained/upgraded </t>
  </si>
  <si>
    <t xml:space="preserve">Number of large-scale IT systems developed / maintained / upgraded </t>
  </si>
  <si>
    <t>of which number of large-scale IT systems developed</t>
  </si>
  <si>
    <t xml:space="preserve">Number of cooperation projects with third countries </t>
  </si>
  <si>
    <t>Number of persons who have applied for international protection at border crossing points</t>
  </si>
  <si>
    <t>Number of items of equipment registered in the Technical Equipment Pool of the European Border and Coast Guard Agency</t>
  </si>
  <si>
    <t>Number of items of equipment put at the disposal of the European Border and Coast Guard Agency</t>
  </si>
  <si>
    <t xml:space="preserve">Number of initiated / improved forms of cooperation  of national authorities with the Eurosur National Coordination Centre (NCC) </t>
  </si>
  <si>
    <t xml:space="preserve">Number of border crossings through Automated Border Control gates and e-gates </t>
  </si>
  <si>
    <t xml:space="preserve">Number of addressed recommendations from Schengen Evaluations and from vulnerability assessments in the area of border management </t>
  </si>
  <si>
    <t>Number of participants who report three months after the training activity that they are using the skills and competences acquired during the training</t>
  </si>
  <si>
    <t>Number of persons refused entry by border authorities</t>
  </si>
  <si>
    <t xml:space="preserve">Number of projects supporting the digitalisation of visa processing </t>
  </si>
  <si>
    <t xml:space="preserve">of which number of participants in training activities </t>
  </si>
  <si>
    <t>Number of staff deployed to consulates in third countries</t>
  </si>
  <si>
    <t>of which number of staff deployed for visa processing</t>
  </si>
  <si>
    <t xml:space="preserve">Number of IT functionalities developed / maintained / upgraded </t>
  </si>
  <si>
    <t>Number of infrastructure maintained / repaired</t>
  </si>
  <si>
    <t>Number of real estates rented / depreciated</t>
  </si>
  <si>
    <t>Number of new/upgraded consulates outside the Schengen area</t>
  </si>
  <si>
    <t>of which number of consulates upgraded to enhance client-friendliness for Visa applicants</t>
  </si>
  <si>
    <t xml:space="preserve">Number of addressed recommendations from Schengen Evaluations in the area of the common visa policy </t>
  </si>
  <si>
    <t>Number of visa applications using digital means</t>
  </si>
  <si>
    <t xml:space="preserve">Number of initiated / improved forms of cooperation set up among Member States in visa processing </t>
  </si>
  <si>
    <t>Measurement unit</t>
  </si>
  <si>
    <t>Absolute number of items of equipment</t>
  </si>
  <si>
    <t>Absolute number of ABC systems, self-service systems and e-gates</t>
  </si>
  <si>
    <t>Absolute number</t>
  </si>
  <si>
    <t>absolute number</t>
  </si>
  <si>
    <t xml:space="preserve">Absolute number </t>
  </si>
  <si>
    <t>Absolute number of immigration liason officers</t>
  </si>
  <si>
    <t>Absolute number of IT functionalities</t>
  </si>
  <si>
    <t>Absoulte number</t>
  </si>
  <si>
    <t>Absolute number of equipment registered in TEP</t>
  </si>
  <si>
    <t>Absolute number of equipment items</t>
  </si>
  <si>
    <t>Absolute number of new authorities with which NCC is exchanging information</t>
  </si>
  <si>
    <t>Absolute number of crossings</t>
  </si>
  <si>
    <t>Absolute number of addressed recommendations</t>
  </si>
  <si>
    <t>Abolute number</t>
  </si>
  <si>
    <t>Absolute number of consulates</t>
  </si>
  <si>
    <t>Absolute number of conulates</t>
  </si>
  <si>
    <t>Absolute number of visa applications made using digital means</t>
  </si>
  <si>
    <t>Absolute number of forms of cooperation</t>
  </si>
  <si>
    <t xml:space="preserve">Milestone 2024 </t>
  </si>
  <si>
    <t>N/A</t>
  </si>
  <si>
    <t>Target 2029</t>
  </si>
  <si>
    <t>100 % of recommendations from Schengen Evaluations in the area of the common visa policy with financial implication falling under the scope of this specific objective  (excluding the recommendations in the area of border management and police cooperation)</t>
  </si>
  <si>
    <t xml:space="preserve">The criteria applied by the Member State to select indicators CPR art 17 (1) a)
</t>
  </si>
  <si>
    <t xml:space="preserve">Data or evidence used, data quality assurance and the calculation method (CPR art 17 (1) b) 
</t>
  </si>
  <si>
    <t>2500€ x 26 drones =65 000€;
remote 542€ x 26 = 14092€, transportation case 100€ X 26 = 2 600€
fly more kit (incl. 2 battaries, charger etc) 375 X 26 = 9 750€    VAT 20%  TOTAL cost 91442*1,2=109730,40. The market reseach has been done in 2019.</t>
  </si>
  <si>
    <t>According to IT-system ALIS 51 persons applied for international protection in 2019 and 13 in 2020. Within 2 years there was 51+13=64 applications, which makes 64/2=32 annual average. For the 2022-2024 the cumualtive target is (3 years X 32 applications) 96 persons. For the years 2022-2029 the cumulative target (8 X 32) is 256 persons.</t>
  </si>
  <si>
    <t xml:space="preserve">Target calculation methods are the same as for the large-scale equipment output indicators. (26 drones, 20 patrol cars and 13 vans and 3 mobile surveillance systems will be registred in the TEP)
</t>
  </si>
  <si>
    <t xml:space="preserve"> For targets all large-scale equipment reported under output indicators will be registred and put at the disposal for EBCGA.</t>
  </si>
  <si>
    <t>The Estonian Police and Border Guard has prognosed that by 2029 5,5 million persons cross the border of which 2,2 million uses ABC-gates. Prognosis is based on the IT system ALIS statistics for the years 2015-2019 (annual average of persons crossing the border). 40% is a strategical goal set by the PBGB.</t>
  </si>
  <si>
    <t>Data from several training from the period 2014-2020 project ISFB-25 is taken into account, the average is used to set the target. Feedback of the training no 1: 75 participants. In total 27 replies were received out of which 11 YES and 16 NO anwers. Training no 2 - questionaire was sent to 10 participants, 8 replies were received. 7 YES and 1 NO. Training no 3: quesionaire was sent to 28 participants, replied 19, all replied YES. In total 27+8+19= 54 replies, 11+7+19=37 YES. 37 X 100/54=68,5%. Target calculation methodology: prognosed number of trained persons X 69%. The beneficiary prognosed that all IO specific action participants will report YES (140).</t>
  </si>
  <si>
    <t>Baseline calculation to set the target: 2018 - 1739 persons, 2019 - 2120, 2020 - 501. 1739+2120+501/ 3 =1453,3. Target prognosis has been made based on IT system ALIS statistics 01.01.2015-31.12.2019. Within this period 8000 refusal of entry was made. 8000/5 years=1600 person per year. For the period of 2022-2029 the target is 8 X 1600= 12 800 persons.</t>
  </si>
  <si>
    <t>Prognosis is based on the structure of the Ministry of the Foregin Affairs (consuls, staff members hired locally), officials dealing visa issuing in the Police and Border Guard and The Estionian Internal security Service.</t>
  </si>
  <si>
    <t>During he period of 2022-2029 national visaregistry and Visa Information System will be furhter developed to be in line with new legal framework.</t>
  </si>
  <si>
    <t>During he period of 2022-2029  Visa Information System (VIS) will be upgraded to be in line with new legal framework.</t>
  </si>
  <si>
    <t>During he period of 2022-2029 national Visa Information System will be further developed to be in line with new legal framework.</t>
  </si>
  <si>
    <t>Baseline calcualtion methodology to set the target: Visa applications are processed by Police and Border Guard Board and Ministry of Foreign Affiars. In 2018  127568 (MFA) +7307 (PBGB)=134875 applications were processed, of which 127568+0 (94%) were pre-filled on-line visa application,  In 2019.a 145715+14437=160152, of which 145715+3=145718 (91%) on-line applications. Avearage 94+91/2=92,5%.  Target: 134875+127568=262443. 262443/2=131222 visas processed per year. 1331222 x 8 years=1049776 visas issued during the period 2022-2029 of which 1049776 x 93%/100%=976 292 visa applications processed via digital means.</t>
  </si>
  <si>
    <t xml:space="preserve">Factors that may influence the achievement of the milestones and targets and how they were taken into account (CPR art 17 (1) c) </t>
  </si>
  <si>
    <t>The achievement of  targets may be influenced by the result of procurements.</t>
  </si>
  <si>
    <t xml:space="preserve">The achievement of  targets may be influenced by the result of procurements. </t>
  </si>
  <si>
    <t xml:space="preserve">The achievement of  targets may be influenced by the result of procurements. Market survey has been conducted in 2019. </t>
  </si>
  <si>
    <t>The achievement of targets may be influenced by structural changes in the Estonian Police and Border Guard Board cancellaton of trainings due to external reasons (e.g pandemic).</t>
  </si>
  <si>
    <t>The achievement of targets may be influenced by structural changes in the Estonian Police and Border Guard Board or cancellaton of trainings due to external reasons (e.g pandemic)</t>
  </si>
  <si>
    <t>The achievement of the targets cannot be influenced due to the fact that implementations of EU large-scale IT systems are obligatory. Systems will be upgrded/developed at least to some extent, therefore new functionalities created.</t>
  </si>
  <si>
    <t>Achievement of the target may be influenced by political, environmental, economical factors. The target has been set in an assmption that the situation remains mostly the same.</t>
  </si>
  <si>
    <t>Achievement of target may be influenced by the conditions of the ABC gates. If gates are not working correctly, the number is smaller.</t>
  </si>
  <si>
    <t xml:space="preserve">Achievement of target may be influenced by the topic of trainings. </t>
  </si>
  <si>
    <t xml:space="preserve">Acievement of target may be influenced by the implementation of EES system. </t>
  </si>
  <si>
    <t>The planned activities might be implemented under 1 project, the implementation modes are not agreed at the point of programming.</t>
  </si>
  <si>
    <t>Acievement of targets mayt be ingluenced by changes in staff, cancellation of activities due to force majeur.</t>
  </si>
  <si>
    <t>Achievement of target may be influenced by the number of first time applicants. To collect fingerprints, it is still necessary to go to the consulate in person.</t>
  </si>
  <si>
    <t>Achievement of the indicator may be influenced by travel restricitons.</t>
  </si>
  <si>
    <t>Achievement of the indicator might be influenced by changes in staff.</t>
  </si>
  <si>
    <r>
      <t xml:space="preserve">Meetme nimetus TERE raamistikus - </t>
    </r>
    <r>
      <rPr>
        <i/>
        <sz val="11"/>
        <color theme="1"/>
        <rFont val="Calibri"/>
        <family val="2"/>
        <charset val="186"/>
        <scheme val="minor"/>
      </rPr>
      <t xml:space="preserve">Millises TERE meetmes antud näitajat kasutatakse. Võib konkreetse sekkumise sisu arvestades erineda. </t>
    </r>
  </si>
  <si>
    <t>SiM määrab, vajadusel koostöös toetuse taotlejaga (otsetoetuse puhul).</t>
  </si>
  <si>
    <t>Millises TERE meetmes antud näitajat kasutatakse. Võib konkreetse sekkumise sisu arvestades erineda. SiM määrab koostöös toetuse taotlejaga (otsetoetuse puhul).</t>
  </si>
  <si>
    <r>
      <t xml:space="preserve">Programmi tegevuse nimetus TERE raamistikus - </t>
    </r>
    <r>
      <rPr>
        <i/>
        <sz val="11"/>
        <color theme="1"/>
        <rFont val="Calibri"/>
        <family val="2"/>
        <charset val="186"/>
        <scheme val="minor"/>
      </rPr>
      <t>Millises TERE programmi tegevuses antud näitajat kasutatakse. Võib konkreetse sekkumise sisu arvestades erineda.</t>
    </r>
  </si>
  <si>
    <t>Millises TERE programmi tegevuses antud näitajat kasutatakse. Võib konkreetse sekkumise sisu arvestades erineda. SiM määrab, vajadusel koostöös toetuse taotlejaga (otsetoetuse puhul).</t>
  </si>
  <si>
    <t xml:space="preserve">Intervention code / Programmi tegevuse kood - Kood TERE raamistikust, analoog tänase perioodi meetme tegevuse numbrile, mille raames antud näitajat kogutakse (lisatakse hiljem). </t>
  </si>
  <si>
    <t>?</t>
  </si>
  <si>
    <t xml:space="preserve">Definition and concepts </t>
  </si>
  <si>
    <t xml:space="preserve">A border crossing point is defined in Article 2(8) of Regulation (EU) 2016/399 (Schengen Borders Code). Source: Article 2(1) of BMVI Regulation
External borders means external borders as defined in Article 2 of Regulation (EU) No 399/2016 (Schengen Borders Code) and internal borders at which controls have not yet been lifted. Source: Article 2(3) BMVI Regulation Equipment means any tangible asset to which an inventory number is assigned according to the national rules. Equipment includes Automated Border Control systems/self-service systems /e-gates. For the purpose of this indicator, it excludes means of transport (land, maritime, air) that are reported under dedicated indicators. This indicator covers also items of equipment purchased for border surveillance purposes, which are not covered by other indicators.
This indicator covers also equipment for border crossing points rented or leased. </t>
  </si>
  <si>
    <t xml:space="preserve">Automated border control system means a system which allows for an automated border crossing, and which is composed of a
self-service system and an e-gate. Whenever possible, self- service system and e-gate should be recorded and reported
individually rather than the entire ABC system.
Self-service system means an automated system which performs all or some of the border checks that are applicable to a
person and which may be used for pre-enrolling data in the EES. A self-service system is located before manual border control
or e-gates for pre-enrolment of the travelers' data. It allows travelers to capture all necessary data (passport and biometrics)
themselves and have their identity verified. A kiosk is an example of a self-service system.
E-gate means an infrastructure operated by electronic means where an external border or an internal border where controls
have not yet been lifted is actually crossed.
Source: Regulation (EU) 2017/2225 of the European Parliament and of the Council of 30 November 2017 amending Regulation
(EU) 2016/399 as regards the use of the Entry/Exit System 
This indicator covers also Automated border control system/self-service system/e-gate rented or leased. </t>
  </si>
  <si>
    <t xml:space="preserve">Infrastructure means a tangible property of permanent nature, relevant for the purpose European integrated border
management, which meets all of the following conditions:
- It has an immobile nature (it is either permanently attached to the ground or to a property that is permanently attached to the ground and, in this case, it loses its identity through the incorporation and becomes a part of the immobile property to which it is attached)
- Under normal conditions of use, including reasonable care and maintenance, it has an unlimited life period.
- It retains its original shape and appearance with use.
Infrastructure excludes equipment. 
The maintenance and repair covers work performed to maintain the infrastructure in operating condition (e.g. painting, repairing plumbing) as well as major repairs that require large amounts of money, and increase the economic life of the asset. 
</t>
  </si>
  <si>
    <t>A hotspot area means an area created at the request of the host Member State in which the host Member State, the
Commission, relevant Union agencies and participating Member States cooperate, with the aim of managing an existing or
potential disproportionate migratory challenge characterized by a significant increase in the number of migrants arriving at the
external borders.
Source: Article 2(23) of Regulation (EU) 2019/1896</t>
  </si>
  <si>
    <t xml:space="preserve">Facilities means infrastructure, or equipment not covered by other indicators. Examples of facilities are buildings, which host booths for manual control or parking areas. 
Infrastructure means a tangible property of permanent nature which meets all of the following conditions:
- It has an immobile nature (it is either permanently attached to the ground or to a property that is permanently attached to the ground and, in this case, it loses its identity through the incorporation and becomes a part of the immobile property to which it is attached)
- Under normal conditions of use, including reasonable care and maintenance, it has an unlimited life period.
- It retains its original shape and appearance with use.
Equipment means any tangible asset to which an inventory number is assigned according to the national rules.
Upgrade means an improvement of the performance or of other attributes.
Upgrade of equipment shall be reported under this indicator. Purchase of equipment is ‘Number of items of equipment purchased for border crossing points’
Constructed and upgraded excludes maintenance works or repairs of infrastructure that are reported under the indicator ‘Number of infrastructure maintained/repaired’. 
If a project covers construction/upgrade of several buildings, each building is reported separately.
</t>
  </si>
  <si>
    <t xml:space="preserve">Aerial vehicle means any manned or unmanned asset used for border control tasks, in particular for the purposes of border surveillance in line with the Schengen Borders Code and line with EUROSUR, in compliance with the technical and operational standards defined by the EBCG Agency where applicable.   
Source: Regulation (EU) 2016/399 (Schengen Border Code): Article 12(2) on border surveillance, 13(1) on the main purpose of border surveillance, 13(2) on mobile units to carry out border surveillance.
Regulation (EU) 2019/1896 (EBCG Regulation): Article 19 on the scope of EUROSUR, Article 16; Article 64(4) and Article 64 as a whole.
This indicator covers only aerial vehicles purchased
</t>
  </si>
  <si>
    <t xml:space="preserve">Unmanned aerial vehicle means any unmanned asset used for border control tasks, in particular for the purposes of border surveillance in line with the Schengen Borders Code and line with EUROSUR, in compliance with the technical and operational standards defined by the EBCG Agency where applicable.   </t>
  </si>
  <si>
    <t xml:space="preserve">A maritime transport means any manned or unmanned maritime asset for border control tasks, in particular for the purposes of border surveillance in line with the Schengen Borders Code and line with EUROSUR, in compliance with the technical and operational standards defined by the EBCG Agency where applicable.   
Source: Schengen Border Code: Article 12(2) on border surveillance, 13(1) on the main purpose of border surveillance, 13(2) on mobile units to carry out border surveillance.
Regulation 2019/1896 (EBCG Regulation): Article 19 on the scope of EUROSUR, Article 16 and Article 64.
This indicator coves only maritime transport means purchased 
</t>
  </si>
  <si>
    <t xml:space="preserve">A land transport means any manned or unmanned land asset for border control tasks, in particular for the purposes of border surveillance in line with the Schengen Borders Code and line with EUROSUR, in compliance with the technical and operational standards defined by the EBCG Agency where applicable.  
Source: Schengen Border Code: Article 12(2) on border surveillance, 13(1) on the main purpose of border surveillance, 13(2) on mobile units to carry out border surveillance. Regulation 2019/1896 (EBCG Regulation): Article 19 on the scope of EUROSUR, Article 16 and Article 64.
This indicator coves also land transport rented or leased. 
</t>
  </si>
  <si>
    <t>Participant means a natural person benefiting directly from an operation (project) without being responsible for initiating or both initiating and implementing the operation (project) as set out in Art. 2(36) CPR. For the purpose of this indicator, a participant is a person contributing to the implementation of integrated border management  e.g. border guards, hotspot staff, coast guards, staff responsible for operating and maintaining large scale IT systems (‘staff’). 
Support to participants covers but is not limited to :
- Salaries
- Deployments to other Member States 
- Training.
Support means any support to participants not covered by other indicators</t>
  </si>
  <si>
    <t xml:space="preserve">Participant means a natural person benefiting directly from an operation (project) without being responsible for initiating or both initiating and implementing the operation (project) as set out in Art. 2(36) CPR.  For the purpose of this indicator a participant means a participant is a person contibuting to the implementation of integrated border management e.g border guards, hotspot staff, cost gurads ('staff').                  </t>
  </si>
  <si>
    <t>An immigration liaison officer (ILO) is a liaison officer designated and deployed abroad by the competent authorities of a Member
State or by the Commission or by a Union agency, in accordance with the respective legal basis, to deal with immigration-related
issues. In addition, where Member States have agreed that an ILO shall look after the interests of one or more other Member
States it can be considered a joint deployment and such deployment is also reported under this indicator. Source: Articles 2(1)
and 6(1) of Regulation 2019/1240
For the purpose of this indicator, ILO is reported also if the person is part time or for a limited period of time dealing with
immigration related issues. In case of joint deployments, the ILO is reported by the Member State that provides funding through
the BMVI project.</t>
  </si>
  <si>
    <t xml:space="preserve">IT functionalities cover all aspects of IT systems and IT equipment for border surveillance, including of large-scale IT systems except VIS, which is covered under specific objective 2, falling under the scope of this specific objective. 
A functionality that is developped means a new functionality or a territory newly covered with surveillance systems.
Functionality that is maintained/upgraded means any modification after its delivery to correct faults, to improve performance or other attributes.
Examples of functionalities:
- For the Common Identity Repository (CIR): Create / Update and Delete
- For the Shared Biometric Matching System (sBMS): Number of enrolments, verification, identification
- For the Multiple Identity Detector (MID): Number of links created, number of yellow links resolved. A functionality added by the national development, such as the increase in query speed or storage space may count as
functionality.
</t>
  </si>
  <si>
    <t xml:space="preserve">It covers the maintainance and upgrade of existing large-scale IT systems and any other newly developed large-scale IT systems. </t>
  </si>
  <si>
    <t>For the purpose of this indicator, a large scale IT system developed means any newly developed large-scale IT system</t>
  </si>
  <si>
    <t xml:space="preserve">Third countries are third countries, other than Schengen Associated Countries.
Cooperation projects should involve at least one Member State and one third country (as defined above).
</t>
  </si>
  <si>
    <t xml:space="preserve">For the pupose of this indicator, an applicant for international protection means a non-EU national or a stateless person who has made an application for asylum in respect of which a final decision has not yet been taken except those who are apprehended during border surveillance. 
Border crossing point means any crossing-point authorised by the competent authorities for the crossing of external borders. 
Source: Art. 2 of the Regulation 2016/399 (Schengen Borders Code)
</t>
  </si>
  <si>
    <r>
      <t xml:space="preserve">Technical equipment pool is a centralised record of equipment composed of equipment owned either by the Member States or by the Agency and equipment co-owned by the Member States and by the Agency for its operational activities. Member States register the equipment in the pool as set out in Art. 64 of the Regulation 2019/1896, and Article 13(14) of the BMVI Regulation.
Source: Art. 64(1) and 64(14) of Regulation 2019/1896 on the European Border and Coast Guard and Art. 13(14) of the BMVI Regulation. Equipment means a tangible asset to which an inventory number is assigned.
For the purpose of this indicator, equipment also includes aerial vehicles, maritime transport means and land transport means.
BMVI Regulation Article 13(14)(b) on the registration of all large-scale operating equipment in the Technical Equipment Pool of the Agency. </t>
    </r>
    <r>
      <rPr>
        <b/>
        <sz val="11"/>
        <color theme="1"/>
        <rFont val="Calibri"/>
        <family val="2"/>
        <charset val="186"/>
        <scheme val="minor"/>
      </rPr>
      <t xml:space="preserve">(4 mobile surveillance solutions,  26 drones  33 land vehicles) </t>
    </r>
    <r>
      <rPr>
        <sz val="11"/>
        <color theme="1"/>
        <rFont val="Calibri"/>
        <family val="2"/>
        <charset val="186"/>
        <scheme val="minor"/>
      </rPr>
      <t xml:space="preserve">
</t>
    </r>
  </si>
  <si>
    <r>
      <t>For the purpose of this indicator, equipment put at the disposal of the EBCGA means an equipment purchased within a BMVI project and deployed in EBCGA operations. 
Equipment means a tangible asset to which an inventory number is assigned. For the purpose of this indicator, equipment also includes aerial vehicle, maritime transport means and land transport.</t>
    </r>
    <r>
      <rPr>
        <b/>
        <sz val="11"/>
        <color theme="1"/>
        <rFont val="Calibri"/>
        <family val="2"/>
        <charset val="186"/>
        <scheme val="minor"/>
      </rPr>
      <t xml:space="preserve"> (4 mobile surveillance solutions,  26 drones  33 land vehicles) </t>
    </r>
    <r>
      <rPr>
        <sz val="11"/>
        <color theme="1"/>
        <rFont val="Calibri"/>
        <family val="2"/>
        <charset val="186"/>
        <scheme val="minor"/>
      </rPr>
      <t xml:space="preserve">
</t>
    </r>
  </si>
  <si>
    <t xml:space="preserve">Eurosur NCC is defined in Article 21 of Regulation 2019/1896
For the purpose of this indicator initiated/improved form of cooperation means adding a new authority to the authorities with which the National Cordination Centres is already exchanging information and cooperating in line with Art. 21 of Regulation 2019/1896.
</t>
  </si>
  <si>
    <t xml:space="preserve">Automated border control system means a system which allows for an automated border crossing, and which is composed of a self-service system and an e-gate, excluding kiosks.E-gate means an infrastructure operated by electronic means where an external border or an internal border where controls have not yet been lifted is actually crossed.
Source: Regulation (EU) 2017/2225 of the European Parliament and of the Council of 30 November 2017 amending Regulation (EU) 2016/399 as regards the use of the Entry/Exit System
For the purpose of this indicator, crossing through self-service systems are included. Self-service system means an automated system which performs all or some of the border checks that are applicable to a person and which may be used for pre-enrolling data in the EES.
</t>
  </si>
  <si>
    <t xml:space="preserve">Schengen evaluation recommendation means a recommendation issued to the Member State or Schengen Associated Country in line with Article 15 of the Council Regulation No 1053/2013 establishing an evaluation and monitoring mechanism to verify the application of the Schengen acquis. It shall exclude the recommendations in the area of the common visa policy and police cooperation. 
Vulnerability assessment recommendation means a recommendation issued to a Member State, or a Schengen Associated Country in line with Article 32 of Regulation 2019/1896.
Only recommendations with a financial implications in the area of border management should be considered for the purpose of this indicator.
</t>
  </si>
  <si>
    <t>Participant means a natural person benefiting directly from an operation (project) without being responsible for initiating or both initiating and implementing the operation (project) as set out in Art. 2(36) CPR. For the purpose of this indicator, a participant is a person dealing professisonally with integrated border management (‘staff’).</t>
  </si>
  <si>
    <t xml:space="preserve">Refusal of entry of the third country national as set out in Article 14 of Regulation 2016/399 on a Union Code on the rules governing the movement of persons across borders (Schengen Borders Code) </t>
  </si>
  <si>
    <t xml:space="preserve">Visa processing means the handling of visa applications by Member States from visa applications to visa issuing.
Digitalisation of visa progessing means that all steps in the visa processing are done using digital means. This includes the process of applying for visa through digital means.  
</t>
  </si>
  <si>
    <t xml:space="preserve">Participant means a natural person benefiting directly from an operation (project) without being responsible for initiating or both initiating and implementing the operation (project) as set out in Art. 2(36) CPR. For the purpose of this indicator, participant means a person dealing professionally with visa policy (‘staff’).  
Support to participants covers but is not limited to:
- salaries,
- capacity building
- training.
Support means any support to participants not covered by other indicators. 
</t>
  </si>
  <si>
    <t xml:space="preserve">Participant means a natural person benefiting directly from an operation (project) without being responsible for initiating or both initiating and implementing the operation (project) as set out in Art. 2(36) CPR. For the purpose of this indicator, participant means a person dealing professionally with visa policy (‘staff’). </t>
  </si>
  <si>
    <t xml:space="preserve">Consulate means a Member State’s diplomatic mission or a Member State’s consular post authorised to issue visas and headed by a career consular officer as defined by the Vienna Convention on Consular Relations of 24 April 1963 (Regulation 810/2009 establishing a Community Code on Visas (Visa Code))
Staff deployed means staff newly posted in a third country dealing with Schengen visas regardles the duration of the deployment. A person is reported once, even if the duration of the deployment is prolonged multiple times within a single project. 
Third country means a country that is not a member of the European Union nor a country or territory whose citizens enjoy the European Union right to free movement, as defined in Art. 2(5) of the Regulation (EU) 2016/399 (Schengen Borders Code).
</t>
  </si>
  <si>
    <t xml:space="preserve">For the purpose of indicator, a large scale IT system developed means any development to the national VIS linked to the amendment of the VIS Regulation and any newly developed large-scale IT system.
Large scale IT system maintained/upgraded means any modification after its delivery to correct faults, to improve performance or other attributes. It covers VIS and the maintainance and upgrade of any other newly created large-scale IT systems. 
</t>
  </si>
  <si>
    <t>For the purpose of indicator, a large scale IT system developed means any development to the national VIS linked to the amendment of the VIS Regulation and any newly developed large-scale IT system.</t>
  </si>
  <si>
    <t xml:space="preserve">Schengen evaluation recommendation means a recommendation in the area of the common visa policy issued to the Member State or Schengen Associated Country in line with Article 15 of the Council Regulation No 1053/2013 establishing an evaluation and monitoring mechanism to verify the application of the Schengen acquis. 
For the purpose of this indicator only recommendations with financial implications in the area of common visa policy are reported
</t>
  </si>
  <si>
    <t xml:space="preserve">An application using digital means is an application submitted using a digital platform in computer-readable format. </t>
  </si>
  <si>
    <t>The cooperation should involve a partner from at least one MS (including Schengen Associated Countries) in addition to the
host country. Cooperation includes, without being limited to:
- common application centres,
- colocation,
- consular cooperation mechanisms.</t>
  </si>
  <si>
    <t>Participant means a natural person benefiting directly from an operation (project) without being responsible for initiating or
both initiating and implementing the operation (project) as set out in Article 2(36) CPR. For the purpose of this indicator,
participant means a person dealing professionally with visa policy (‘staff’)</t>
  </si>
  <si>
    <t xml:space="preserve">Data collection </t>
  </si>
  <si>
    <t xml:space="preserve">N/A
</t>
  </si>
  <si>
    <t xml:space="preserve">Data collected by the Member State. It is not generated by projects supported by BMVI. </t>
  </si>
  <si>
    <t>Annually</t>
  </si>
  <si>
    <t>Each form of cooperation is recorded only once regardless whether it has been initiated and improved in the course of one project.</t>
  </si>
  <si>
    <t>Between 3-6 months after a participant has received the training, his/her result is recorded and reported under this
indicator.
If a participant attended several training activities within the same project, the following steps are taken for recording
the data:
(1) record the result of each participant 3-6 months after the participant finished each training activity,
(2) calculate the overall result for each participant by establishing the average of the individual results reported under point 1 above. This step is carried out upon project closure.
(3) If the overall result for the participant is positive, report it under the indicator. The overall result is considered to be positive when the majority of responses (&gt; 50%) from the participant indicated that he/she is using the skills and competences acquired during the training activity. If the overall result is 50:50 (e.g. two positive and two negative responses), the most recent result recorded is reported as overall result for this participant.
A result means the participants’ assessment of whether he/she is using the skills acquired.
The target and reported data of this indicator cannot be higher than the one for the indicator ‘Number of participants in
training activities’.</t>
  </si>
  <si>
    <t xml:space="preserve">Time measurement achieved </t>
  </si>
  <si>
    <t xml:space="preserve"> Upon project closure </t>
  </si>
  <si>
    <t xml:space="preserve"> Upon the project closure</t>
  </si>
  <si>
    <t>Upon the project closure</t>
  </si>
  <si>
    <t>upon the project closure</t>
  </si>
  <si>
    <t>upon project closure</t>
  </si>
  <si>
    <t>When bilateral agreement is signed</t>
  </si>
  <si>
    <t>At the end of the programme.</t>
  </si>
  <si>
    <t>Upon project closure</t>
  </si>
  <si>
    <t>when participant enters the project</t>
  </si>
  <si>
    <t xml:space="preserve">When a participant enters the project </t>
  </si>
  <si>
    <t xml:space="preserve">Aggregation issues </t>
  </si>
  <si>
    <t xml:space="preserve">The milestone, target and reported data exceeds or is equal to the milestone, target and reported data for the sub-indicator.
All equipment reported under the sub-indicator is reported under this main indicator as well. Each self-service system or e-gate is reported only once.
</t>
  </si>
  <si>
    <t>The infrastrucuture is reported only once during the programme.</t>
  </si>
  <si>
    <t xml:space="preserve">All unmanned aerial vehicles reported under the sub-indicator will be reported under this main indicator as well.
</t>
  </si>
  <si>
    <t>Each vehicle is reported only once.</t>
  </si>
  <si>
    <t xml:space="preserve">If the same person receives different forms of support in the context of one single project, he/she is reported only once in the project, except in case of sub-indicator. All participants reported under the sub-indicator are reported under this main indicator as well. 
If a person leaves one project and starts in a different project, it is considered and recorded as a new participation.
</t>
  </si>
  <si>
    <t xml:space="preserve">If the same person receives different types of training, he/she is reported only once in the project. If, however, a person leaves one project and starts in a different project, this is considered and recorded as a new participation.
The milestone, target and the reported data cannot exceed the milestone, target and the reported data set for indicator Number of participants supported;
As this is a sub-indicator to the indicator Number of participants supported, the same person must also be reported under the indicator Number of participants supported.
</t>
  </si>
  <si>
    <t xml:space="preserve">The milestone, target and reported data should exceed or be equal to the milestone, target and reported data for the sub-indicator.
All data reported under the sub-indicator must be reported under this main indicator as well. 
Only number of large-scale IT systems is reported, and not the number of maintenance or upgrades independently of whether it is developed and/or maintained and/or upgraded.
</t>
  </si>
  <si>
    <t xml:space="preserve">The target and reported data for this indicator cannot exceed the target and reported data under the main indicator.
All data reported under the sub indicator is reported under the main indicator as well.
</t>
  </si>
  <si>
    <t xml:space="preserve">The target and reported data cannot exceed the sum of the target and reported data of any of the associated output indicators. 
Each item of equipment is reported only once even if it is registered several times for a limited period of time.  
</t>
  </si>
  <si>
    <t xml:space="preserve">
The target and reported data cannot exceed the sum of the reported data and target of the associated output indicators. Target and reported data can also not exceed the target and reported data for the result indicator 
Number of items of equipment registered in the Technical Equipment Pool of the European Border and Coast Guard Agency
The Managing Authority ensures that all equipment deployed is reported under this indicator, even if the deployment takes place after the project which purchased the equipment is finished. 
Each item of equipment is reported only once even if it is deployed in EBCGA operations several times for a limited period of time.  
</t>
  </si>
  <si>
    <t>Absolute number of crossings through gates/self-service systems /e-gates purchased and reported under the associated output indicator</t>
  </si>
  <si>
    <t xml:space="preserve">If a participant attended several training activities within the same project, the most recent result are to be reported i.e. previous result has to be replaced with the more recent result. This is to ensure that there is no double reporting of results from the same participant within the same project and that the reported results reflect the most recent data. A result means the participants’ assessment of whether he/she is using the skills acquired.
The target and reported data cannot be higher than the one for the associated output indicator Number of participants in training activities.
</t>
  </si>
  <si>
    <t xml:space="preserve">If the same person receives different forms of support in the context of one single project, he/she is reported only once in the project, except for the sub-indicator where the same person is reported under several sub-indicators. If, however, a person leaves one project and starts in a different project, this shall be considered and recorded as a new participation.
All participants reported under the sub-indicator below must be reported under this main indicator as well. 
The milestone, target and reported data should exceed or be equal to the milestone, target and reported data for the sub-indicator.
</t>
  </si>
  <si>
    <t xml:space="preserve">If the same person receives different types of training in the context of one single project, he/she should be reported only once in the project, except for the sub-indicator where the same person can be reported under several sub-indicators. If, however, a person leaves one project and starts in a different project, this shall be considered and recorded as a new participation.
As this is a sub-indicator to the indicator Number of participants supported, the same person must also be reported under the indicator Number of participants supported.
The milestone, target and reported data, cannot exceed the milestone, target and reported data for indicator Number of participants supported
</t>
  </si>
  <si>
    <t>Each functionality is reported only once, and not the number of maintainance and upgrades.</t>
  </si>
  <si>
    <t xml:space="preserve">The milestone, target and reported data should exceed or be equal to the milestone, target and reported data for the sub-indicator; in SFC2021 to add a validation rule.
All data reported under the sub-indicator must be reported under this main indicator as well. 
Only number of large-scale IT systems is reported, and not the number of maintenance or upgrades independently of whether it is developed and/or maintained and/or upgraded.
</t>
  </si>
  <si>
    <t xml:space="preserve">The target and reported data for this indicator cannot exceed the target and reported data under the main indicator.
All data reported under the sub indicator, must be reported under the main indicator as well.
</t>
  </si>
  <si>
    <t>KOEL</t>
  </si>
  <si>
    <t>Each participant is reported only once during the project.</t>
  </si>
  <si>
    <t xml:space="preserve">Reporting </t>
  </si>
  <si>
    <t>The Police and Border Guard Board withdraws the data from the IT system ALIS.</t>
  </si>
  <si>
    <t xml:space="preserve">Each item is reported only once even if it is registered several times for a limited period of time. Beneficiary reports the item in the report following the registration in the TEP. </t>
  </si>
  <si>
    <t>The Police and Border Guard Board submits annually the summary of bilateral agreements. Each item is reported only once.</t>
  </si>
  <si>
    <t>If a participant attended several training activities within the same project, the most recent result are to be reported i.e. previous result has to be replaced with the more recent result.</t>
  </si>
  <si>
    <t>Every six monts</t>
  </si>
  <si>
    <t xml:space="preserve">Each participant is reported only once within the project. Participant is reported in the report that follows the first entrance to the project. </t>
  </si>
  <si>
    <t xml:space="preserve">Each system is reported only once </t>
  </si>
  <si>
    <t>Each system is reported only once</t>
  </si>
  <si>
    <t>Visa information system</t>
  </si>
  <si>
    <t xml:space="preserve">References </t>
  </si>
  <si>
    <t>Projects ISFB-7, ISFB-31, ISFB-33, ISFB-41 procurements, market researches, expert assesments</t>
  </si>
  <si>
    <t xml:space="preserve"> Project ISFB-31 procurement</t>
  </si>
  <si>
    <t>Eastern border project and SA Smart Borders2021+</t>
  </si>
  <si>
    <t>Eastern border project</t>
  </si>
  <si>
    <r>
      <t>Transportation Development plan of the Ministry of the Interior for th</t>
    </r>
    <r>
      <rPr>
        <sz val="11"/>
        <rFont val="Calibri"/>
        <family val="2"/>
        <charset val="186"/>
        <scheme val="minor"/>
      </rPr>
      <t>e period of 2020-2029</t>
    </r>
  </si>
  <si>
    <t>Transportation Development plan of the Ministry of the Interior for the period of 2020-2029</t>
  </si>
  <si>
    <t>Personnel and Budgetray IT system SAP, Participant lists</t>
  </si>
  <si>
    <t>SIS regulations: EU 2018/1861, EU 2018/1862, EU 2018/2860, EES regulation, ETIAS regulation, IO regulations, EUROSUR regulation</t>
  </si>
  <si>
    <t>SIS regulations: EU 2018/1861, EU 2018/1862, EU 2018/2860, EES regulation, ETIAS regulation, IO regulations</t>
  </si>
  <si>
    <t>IO regulations</t>
  </si>
  <si>
    <t>IT System ALIS</t>
  </si>
  <si>
    <t xml:space="preserve">EBCGA activity report to the EP.https://frontex.europa.eu/about-frontex/key-documents/  </t>
  </si>
  <si>
    <t>Bilateral agreements</t>
  </si>
  <si>
    <t>IT system ALIS</t>
  </si>
  <si>
    <t>Feedback of ISFB-25</t>
  </si>
  <si>
    <t>ALIS and EUROSTAT</t>
  </si>
  <si>
    <t>obligation stems from the EU regulation</t>
  </si>
  <si>
    <t>participant lists</t>
  </si>
  <si>
    <t>VIS regulation, Jira tickets</t>
  </si>
  <si>
    <t>Estonian Ministry of Foreign Affairs</t>
  </si>
  <si>
    <t>Estonian Ministry of Foregin Affairs</t>
  </si>
  <si>
    <t xml:space="preserve">Annual average of forms of cooperation in the years 2018-2020 was 1. </t>
  </si>
  <si>
    <t>Feedback sheets</t>
  </si>
  <si>
    <t>Notes</t>
  </si>
  <si>
    <t>Due to limited funds, Estonia is not planning hotspots from the BMVI</t>
  </si>
  <si>
    <t>The establishment and maintenance of Estonian-Russian border is a proirity of Estonian government and large undertaking mostly funded by national budget. BMVI covers the miniscule share of it. The operational station is used to monitor camera pictures sent from the border. Costs in this table are renovation costs of Luhamaa NCC.</t>
  </si>
  <si>
    <t>Associated result indicators: Number of items of equipment registered in the Technical Equipment Pool of the European Border and Coast Guard Agency. Number of items of equipment put at the disposal of the European Border and Coast Guard Agency</t>
  </si>
  <si>
    <t xml:space="preserve">Associated result indicators: Number of items of equipment registered in the Technical Equipment Pool of the European Border and Coast Guard Agency.
Number of items of equipment put at the disposal of the European Border and Coast Guard Agency. Costs are included in O.1.5
</t>
  </si>
  <si>
    <t>Due to limited funds, Estonia is not planning to purchase any maritime transport means from the BMVI programme. However, thematic facility might be concidered.</t>
  </si>
  <si>
    <t xml:space="preserve">Associated result indicators: Number of items of equipment registered in the Technical Equipment Pool of the European Border and Coast Guard Agency;
Number of items of equipment put at the disposal of the European Border and Coast Guard Agency
</t>
  </si>
  <si>
    <t>Due to limited allocation Estonia is not planning to finance ILOs fro mthe BMVI. AMIF funding might be concidered.</t>
  </si>
  <si>
    <t>Costs cover also O.10 and O1.11.1</t>
  </si>
  <si>
    <t>Cost are included in O1.11</t>
  </si>
  <si>
    <t>Do to limited funds, Estonia has not planned any co-operation activities with third countries.</t>
  </si>
  <si>
    <r>
      <t xml:space="preserve">Annual average of equipment registered by the Member State in the Technical Equipment Pool of the European Border and Coast Guard Agency in 2018-2020 (EU and national funds): 2018 -65 items, 2019-157 items, 2020 - 201 items, 2021 - 251 items. Total 674. Annual average 674/4=168,5.                                                                      Associated output indicators: Number of items of equipment purchased for border crossing points - </t>
    </r>
    <r>
      <rPr>
        <sz val="11"/>
        <color rgb="FFFF0000"/>
        <rFont val="Calibri"/>
        <family val="2"/>
        <charset val="186"/>
        <scheme val="minor"/>
      </rPr>
      <t>according to the BMVI regualtion only large-scale equipment needs registration in the TEP therefore only this kind of equipment purchased from the BMVI, will be reported under this indicator.</t>
    </r>
    <r>
      <rPr>
        <sz val="11"/>
        <color theme="1"/>
        <rFont val="Calibri"/>
        <family val="2"/>
        <charset val="186"/>
        <scheme val="minor"/>
      </rPr>
      <t xml:space="preserve">
Number of aerial vehicles purchased
Number of maritime transport means purchased .
Number of land transport means purchased
 Same costs are reported under O.1.5 and O.1.7 and partially under O.1.1 (SA mobile surveillance systems)</t>
    </r>
  </si>
  <si>
    <t>Associated output indicators: Number of items of equipment purchased for border crossing points
Number of aerial vehicles purchased
Number of maritime transport means purchased
Number of land transport means purchased
Same costs are reported under O.1.5 and O.1.7 and partially under O.1.1 (SA mobile surveillance systems)</t>
  </si>
  <si>
    <t>Estonia has already connected all relevant authorities with the NCC, no project is planned for this indicator.</t>
  </si>
  <si>
    <r>
      <t xml:space="preserve">Member States should report (under comments in table 6B Annex VII CPR) the total number of Schengen recommendations, which have financial implications falling under the scope of this specific objective. This is a cumulative number, which should be updated every time a Member State receives recommendations with financial implications. 
Regarding the Schengen recommendations: After assessing submitted follow-up report, the Commission informs Member State on the agreement to close the recommendation. Once the new IT application KOEL enters into operation the Member States will automatically be notified when a recommendation is closed. </t>
    </r>
    <r>
      <rPr>
        <b/>
        <sz val="11"/>
        <color theme="1"/>
        <rFont val="Calibri"/>
        <family val="2"/>
        <charset val="186"/>
        <scheme val="minor"/>
      </rPr>
      <t xml:space="preserve">NB! due to lack of BMVI funding, Estonia will mostly use national budget to implement recommendation. </t>
    </r>
    <r>
      <rPr>
        <i/>
        <sz val="11"/>
        <color theme="1"/>
        <rFont val="Calibri"/>
        <family val="2"/>
        <scheme val="minor"/>
      </rPr>
      <t>Specific Actions BMVI/20204/SA/1.1.5/001 and  BMVI/2024/SA/1.4.2/002 will contribute to 1) Finalize and further develop the integrated land border surveillance system, in particular the stationary surveillance along the entire border with the Russian Federation; ensure and guarantee sufficient financing of this system by also making use of the EU funding; and 2) Improve the capacity to detect and intercept unauthorized cross-border unmanned aerial vehicles (UAV) flights.</t>
    </r>
    <r>
      <rPr>
        <sz val="11"/>
        <color theme="1"/>
        <rFont val="Calibri"/>
        <family val="2"/>
        <charset val="186"/>
        <scheme val="minor"/>
      </rPr>
      <t xml:space="preserve">
</t>
    </r>
  </si>
  <si>
    <t>Annual average of persons refused entry by border authorities in the Member State in 2018-2019 (Eurostat data) was 1739+1220/2=1930. (2018- 1739, 2019- 2120). 1930X8=15 840. Taken into account the pandemic and decreased volume of travellers, the prognosis is 12 800.</t>
  </si>
  <si>
    <t>This type costs are covered by national budget.</t>
  </si>
  <si>
    <t xml:space="preserve">Entity responsible for collecting </t>
  </si>
  <si>
    <t>The collection of the data is stipulated in the Terms of Support. The beneficiary on the project level, Responsible Authority on the SFC level based on beneficiaries' reports.</t>
  </si>
  <si>
    <t>The collection of the data is stipulated in the Terms of Support. The beneficiary on the project level, Responsible Authority on the SFC level based on beneficiary's reports.</t>
  </si>
  <si>
    <t xml:space="preserve">The collection of the data is stipulated in the Terms of Support. The beneficiary on the project level, Responsible Authority on the SFC level based on beneficiary's reports. </t>
  </si>
  <si>
    <t>Police and Border Guard Board</t>
  </si>
  <si>
    <t>Proportion of EU contribution</t>
  </si>
  <si>
    <t>Regular action 75%, specific action 90%</t>
  </si>
  <si>
    <t>Regular actions 75%</t>
  </si>
  <si>
    <t xml:space="preserve">National contribution </t>
  </si>
  <si>
    <t xml:space="preserve">Beneficiary's own contribution </t>
  </si>
  <si>
    <t>Total cost of indicator</t>
  </si>
  <si>
    <t xml:space="preserve">Planned unit cost </t>
  </si>
  <si>
    <t>Depends on the equipment, impossibe to set the general value.</t>
  </si>
  <si>
    <t>Depends on the training subject, cannot set the general unit cost. SA training costs are counted under other indicators.</t>
  </si>
  <si>
    <t>kogusumma</t>
  </si>
  <si>
    <t>022 Suuremahulised IT-süsteemid piirihalduseks - ETIAS Art 85 lg 2</t>
  </si>
  <si>
    <t>O1.1.1</t>
  </si>
  <si>
    <t>Piiripunktide jaoks ostetud seadmete arv, millest omakorda</t>
  </si>
  <si>
    <t>Ostetud õhusõidukite arv, millest omakorda</t>
  </si>
  <si>
    <t>Toetatud osalejate arv, millest omakorda</t>
  </si>
  <si>
    <t>Välja töötatud/hooldatud/ajakohastatud suuremahuliste IT-süsteemide arv, millest omakorda</t>
  </si>
  <si>
    <t>Kolmandate riikidega läbiviidavate koostööprojektide arv.</t>
  </si>
  <si>
    <t>Piiripunktides rahvusvahelist kaitset taotlenud isikute arv.</t>
  </si>
  <si>
    <t>Kolmandates riikides asuvatesse konsulaatidesse lähetatud töötajate arv, millest omakorda</t>
  </si>
  <si>
    <t>Väljaspool Schengeni ala asuvate uute/ajakohastatud konsulaatide arv, millest omakorda</t>
  </si>
  <si>
    <t>O.1.2</t>
  </si>
  <si>
    <t>O1.3</t>
  </si>
  <si>
    <t>O.1.8.1</t>
  </si>
  <si>
    <t>O.2.3.1</t>
  </si>
  <si>
    <t>O.2.5.1</t>
  </si>
  <si>
    <t>R.2.9.1</t>
  </si>
  <si>
    <t>Väljundnäitajad</t>
  </si>
  <si>
    <t>Tulemusnäitajad</t>
  </si>
  <si>
    <t>2024 sihttase</t>
  </si>
  <si>
    <t>2029 sihttase</t>
  </si>
  <si>
    <t>Annual cost per ABC gate until the end of 2025 is 15,000€. In 2026 a new procurement will be launched.</t>
  </si>
  <si>
    <r>
      <t xml:space="preserve">Based on previous procurements the cost per van is 75,600€. 75,600 X </t>
    </r>
    <r>
      <rPr>
        <b/>
        <sz val="11"/>
        <color theme="1"/>
        <rFont val="Calibri"/>
        <family val="2"/>
        <charset val="186"/>
        <scheme val="minor"/>
      </rPr>
      <t>13 vans</t>
    </r>
    <r>
      <rPr>
        <sz val="11"/>
        <color theme="1"/>
        <rFont val="Calibri"/>
        <family val="2"/>
        <charset val="186"/>
        <scheme val="minor"/>
      </rPr>
      <t>= 982,800€. Taken into account that prices of new vehicles have been increased recently, the total amount have been rounded up to 1 MEUR.</t>
    </r>
  </si>
  <si>
    <t>Transportation Development Plan of the Ministry of the Interior for the period of 2020-2029. Vechicles are registred in the IT-system "SÕIDUK"</t>
  </si>
  <si>
    <t>Depends on the procurement.</t>
  </si>
  <si>
    <r>
      <t xml:space="preserve">When a participant enters the project, the beneficiary records and stores her/his personalized data. The beneficiary submits the aggregated data in the interim and/or final project report. </t>
    </r>
    <r>
      <rPr>
        <b/>
        <sz val="11"/>
        <color theme="1"/>
        <rFont val="Calibri"/>
        <family val="2"/>
        <charset val="186"/>
        <scheme val="minor"/>
      </rPr>
      <t>Projects No BMVI.1.01.23-0011, BMVI.1.01.23-0017, BMVI.1.01.24-0025, BMVI.1.01.23-0012, BMVI.1.01.22-0001, BMVI.1.01.23-0008, BMVI.1.01.24-0014, BMVI.1.01.23-0013, BMVI.1.01.24-0028, BMVI.1.01.24-0027, BMVI.1.01.25-0031 and the project for creating screening capacity</t>
    </r>
    <r>
      <rPr>
        <sz val="11"/>
        <color theme="1"/>
        <rFont val="Calibri"/>
        <family val="2"/>
        <charset val="186"/>
        <scheme val="minor"/>
      </rPr>
      <t xml:space="preserve"> will contribute to this indicator</t>
    </r>
  </si>
  <si>
    <r>
      <t xml:space="preserve">When a participant enters the project, the beneficiary records and stores her/his personalized data. The beneficiary submits the aggregated data in the interim and/or final project report. </t>
    </r>
    <r>
      <rPr>
        <b/>
        <sz val="11"/>
        <color theme="1"/>
        <rFont val="Calibri"/>
        <family val="2"/>
        <charset val="186"/>
        <scheme val="minor"/>
      </rPr>
      <t>Projects No BMVI.1.01.23-0011, BMVI.1.01.23-0017, BMVI.1.01.24-0025, BMVI.1.01.22-0001, BMVI.1.01.23-0008, BMVI.1.01.24-0014, BMVI.1.01.23-0013, BMVI.1.01.24-0028, BMVI.1.01.24-0027, BMVI.1.01.25-0031</t>
    </r>
    <r>
      <rPr>
        <sz val="11"/>
        <color theme="1"/>
        <rFont val="Calibri"/>
        <family val="2"/>
        <charset val="186"/>
        <scheme val="minor"/>
      </rPr>
      <t xml:space="preserve"> will contribute to this indicator</t>
    </r>
  </si>
  <si>
    <t>Maismaavarustuse soetamine ja paigaldamine piirilõikudele 4-6</t>
  </si>
  <si>
    <t>Maismaavarustuse soetamine ja paigaldamine piirilõikudele 1-3, 7 ja 8</t>
  </si>
  <si>
    <t>Maismaavarustuse soetamine ja paigaldamine piirilõikudele 9-11</t>
  </si>
  <si>
    <t>SIRENE töövoo süsteemi (iSpoC), Schengeni infosüsteemi (ESIS, ESIS_ADMIN) ja Interlyysi arendamine</t>
  </si>
  <si>
    <t>InterOperability ehk koostalitlusvõime arendamine Eestis</t>
  </si>
  <si>
    <t>Kontaktametniku lähetamine Euroopa Piiri- ja Rannikuvalve Ameti juurde</t>
  </si>
  <si>
    <t>TEGEVUSTOETUS  Seiretehnikute värbamine ja koolitamine</t>
  </si>
  <si>
    <t>TEGEVUSTOETUS  Seiretehnika ülalpidamine ja hooldamine välispiiril</t>
  </si>
  <si>
    <t xml:space="preserve">TEGEVUSTOETUS  EL infosüsteemide andmekeskuse rent                             </t>
  </si>
  <si>
    <r>
      <t xml:space="preserve">ETIAS riiklik üksus (enne ETIAS </t>
    </r>
    <r>
      <rPr>
        <i/>
        <sz val="12"/>
        <color theme="8"/>
        <rFont val="Calibri"/>
        <family val="2"/>
        <charset val="186"/>
        <scheme val="minor"/>
      </rPr>
      <t>live</t>
    </r>
    <r>
      <rPr>
        <sz val="12"/>
        <color theme="8"/>
        <rFont val="Calibri"/>
        <family val="2"/>
        <charset val="186"/>
        <scheme val="minor"/>
      </rPr>
      <t>'i)</t>
    </r>
  </si>
  <si>
    <r>
      <t xml:space="preserve">ETIAS riiklik üksus (pärast ETIAS </t>
    </r>
    <r>
      <rPr>
        <i/>
        <sz val="12"/>
        <color theme="8"/>
        <rFont val="Calibri"/>
        <family val="2"/>
        <charset val="186"/>
        <scheme val="minor"/>
      </rPr>
      <t>live</t>
    </r>
    <r>
      <rPr>
        <sz val="12"/>
        <color theme="8"/>
        <rFont val="Calibri"/>
        <family val="2"/>
        <charset val="186"/>
        <scheme val="minor"/>
      </rPr>
      <t>'i)</t>
    </r>
  </si>
  <si>
    <t xml:space="preserve">PIIRIKONTROLLISEADMETE UUENDAMINE                                                                              </t>
  </si>
  <si>
    <t xml:space="preserve">PIIRIVALVE ja -KONTROLLI MAISMAASÕIDUKID </t>
  </si>
  <si>
    <t xml:space="preserve">TEGEVUSTOETUS  EKSPO rakenduse ülalhoidmine ja jätkuarendused                  </t>
  </si>
  <si>
    <t>TEGEVUSTOETUS                                                   ELi infosüsteemide koordineerimine</t>
  </si>
  <si>
    <t xml:space="preserve">Uute piirihaldusametnike koolitamine </t>
  </si>
  <si>
    <t>Tolliametnike piirikontrollilased koolitused</t>
  </si>
  <si>
    <t>Piirihaldust tagavate ametnike koolitamine</t>
  </si>
  <si>
    <t>Erimeede BMVI/2024/SA/1.1.5/001 - Mitmekihilise droonituvastuse- ja -tõrjepositsiooni piloteerimine</t>
  </si>
  <si>
    <t>Erimeede BMVI/2024/SA/1.4.2/002 - Piirivalvevõimekuse suurendamine välispiiril</t>
  </si>
  <si>
    <t>Erimeede BMVI/2023-2024/SA/1.2.2/01 - Maismaapiiri patrullivõimekuse tõstmine</t>
  </si>
  <si>
    <t>Erimeede BMVI/2021/SA/1.5.7/003 - iSPoC + analüüs</t>
  </si>
  <si>
    <t>Erimeede BMVI/2021/SA/1.5.4/008 - Koostalitlusvõime määruse rakendamise toetamine</t>
  </si>
  <si>
    <t>Erimeede BMVI/2021-2022/SA/1.2.1/003 - Autonoomse ja mobiilse kaugseire võimekuse tõstmine</t>
  </si>
  <si>
    <t>Erimeede BMVI/2024/SA/1.5.1/001.2 - SIS iSPOC DEBS (ETIAS)</t>
  </si>
  <si>
    <t>Erimeede BMVI/2024/SA/1.5.1/001.1 - EES ja ETIAS rakendamine</t>
  </si>
  <si>
    <t xml:space="preserve">TEGEVUSTOETUS                                                      Automatiseeritud piiriületuse toimivuse tagamine piiripunktides                      </t>
  </si>
  <si>
    <t xml:space="preserve"> 016 asutustevaheline koostöö - liidu tasand</t>
  </si>
  <si>
    <t>c) viisasid käsitleva liidu acquis’ ühetaolise kohaldamise tagamine, sealhulgas ühise viisapoliitika edasiarendamine ja ajakohastamine</t>
  </si>
  <si>
    <t>BMVI.1.01.23-0002</t>
  </si>
  <si>
    <t>BMVI.1.01.23-0015</t>
  </si>
  <si>
    <t>BMVI.1.01.24-0027</t>
  </si>
  <si>
    <t>BMVI.1.01.24-0028</t>
  </si>
  <si>
    <t>BMVI.1.01.23-0014</t>
  </si>
  <si>
    <t>BMVI.1.01.24-0026</t>
  </si>
  <si>
    <t>BMVI.1.01.23-0016</t>
  </si>
  <si>
    <t>BMVI.1.01.23-0011</t>
  </si>
  <si>
    <t>BMVI.1.01.23-0017</t>
  </si>
  <si>
    <t>BMVI.1.01.24-0025</t>
  </si>
  <si>
    <t>BMVI.1.01.23-0005</t>
  </si>
  <si>
    <t>BMVI.1.01.25-0031</t>
  </si>
  <si>
    <t>BMVI.1.01.23-0006</t>
  </si>
  <si>
    <t>BMVI.1.01.23-0010</t>
  </si>
  <si>
    <t>BMVI.1.01.23-0009</t>
  </si>
  <si>
    <t>BMVI.1.01.23-0012</t>
  </si>
  <si>
    <t>BMVI.1.01.23-0007</t>
  </si>
  <si>
    <t>BMVI.1.01.23-0019</t>
  </si>
  <si>
    <t>BMVI.1.01.23-0020</t>
  </si>
  <si>
    <t>BMVI.1.01.23-0003</t>
  </si>
  <si>
    <t>BMVI.1.01.23-0023</t>
  </si>
  <si>
    <t>BMVI.1.01.23-0018</t>
  </si>
  <si>
    <t>BMVI.1.01.24-0029</t>
  </si>
  <si>
    <t>BMVI.1.01.23-0008</t>
  </si>
  <si>
    <t>BMVI.1.01.23-0013</t>
  </si>
  <si>
    <t>BMVI.1.01.23-0004</t>
  </si>
  <si>
    <t>BMVI.1.01.23-0021</t>
  </si>
  <si>
    <t>BMVI.1.01.22-0001</t>
  </si>
  <si>
    <t>BMVI.1.01.25-0030</t>
  </si>
  <si>
    <t>a) Nende osalejate arv, kes teatavad kolm kuud pärast koolitust, et nad kasutavad koolituse käigus omandatud oskusi ja pädevust, b) Euroopa Piiri- ja Rannikuvalve Ameti tehniliste seadmete reservis registreeritud seadmete arv, c) Euroopa Piiri- ja Rannikuvalve Ameti käsutusse antud seadmete arv.</t>
  </si>
  <si>
    <t>a) 4, b) 4, c) 4</t>
  </si>
  <si>
    <t>süsteemi raporteeritakse vaid ühe korra kogu perioodi vältel, olgugi, et mitu projekti panustab süsteemi arendamisse</t>
  </si>
  <si>
    <t>a) 2, b) 1, c) 1, d) 140, e) 140</t>
  </si>
  <si>
    <t xml:space="preserve"> arv</t>
  </si>
  <si>
    <r>
      <rPr>
        <sz val="12"/>
        <rFont val="Calibri"/>
        <family val="2"/>
        <charset val="186"/>
        <scheme val="minor"/>
      </rPr>
      <t xml:space="preserve">Riigisisese viisaregistri arenduste II etapp </t>
    </r>
    <r>
      <rPr>
        <sz val="12"/>
        <color rgb="FF0070C0"/>
        <rFont val="Calibri"/>
        <family val="2"/>
        <charset val="186"/>
        <scheme val="minor"/>
      </rPr>
      <t xml:space="preserve">          </t>
    </r>
  </si>
  <si>
    <t>Riikliku viisaregistri ja VIS arendused</t>
  </si>
  <si>
    <t>Viisamenetlejate koolitamine ja stažeerimisprogramm</t>
  </si>
  <si>
    <t>Ühisauditid ja viisamenetluspraktika</t>
  </si>
  <si>
    <t>VIS raproteeritakse üks kord programmi jooksul</t>
  </si>
  <si>
    <t>a) Viisade menetlemise digitaliseerimist toetavate projektide arv, b) Välja töötatud/hooldatud/ajakohastatud suuremahuliste IT-süsteemide arv, c) millest omakorda
välja töötatud suuremahuliste IT-süsteemide arv</t>
  </si>
  <si>
    <t>a) 1, b) c) 1</t>
  </si>
  <si>
    <t>a)1, b) 1, c) 1</t>
  </si>
  <si>
    <t>Viisade menetlemise digitaliseerimist toetavate projektide arv</t>
  </si>
  <si>
    <t>viisataotluste menetlemiseks lähetatud töötajate arv</t>
  </si>
  <si>
    <t>Välja töötatud/hooldatud/ajakohastatud IT-funktsioonide arv</t>
  </si>
  <si>
    <t>välja töötatud suuremahuliste IT-süsteemide arv</t>
  </si>
  <si>
    <t>Hooldatud/parandatud taristuosade arv</t>
  </si>
  <si>
    <t>Renditud/amortiseerunud kinnisasjade arv</t>
  </si>
  <si>
    <t>nende konsulaatide arv, mida on ajakohastatud, et muuta need viisataotlejate jaoks kliendisõbralikumaks</t>
  </si>
  <si>
    <t>Ühise viisapoliitika valdkonnas läbi viidud Schengeni hindamiste raames esitatud soovituste arv, mida on arvesse võetud</t>
  </si>
  <si>
    <t>Digitaalselt esitatud viisataotluste arv</t>
  </si>
  <si>
    <t>Nende osalejate arv, kes teatavad kolm kuud pärast koolitust, et nad kasutavad koolituse käigus omandatud oskusi ja pädevust</t>
  </si>
  <si>
    <t>koolitustegevuses osalejate arv</t>
  </si>
  <si>
    <t>ostetud automaatse piirikontrolli süsteemide/iseteenindussüsteemide/e-väravate arv</t>
  </si>
  <si>
    <t>Toetatud esmase vastuvõtu piirkonnad</t>
  </si>
  <si>
    <t>ostetud mehitamata õhusõidukite arv</t>
  </si>
  <si>
    <t>Ostetud meretranspordivahendite arv</t>
  </si>
  <si>
    <t>Kolmandatesse riikidesse lähetatud sisserändeküsimustega tegelevate kontaktametnike arv</t>
  </si>
  <si>
    <t>Euroopa Piiri- ja Rannikuvalve Ameti tehniliste seadmete reservis registreeritud seadmete arv</t>
  </si>
  <si>
    <t>Euroopa Piiri- ja Rannikuvalve Ameti käsutusse antud seadmete arv</t>
  </si>
  <si>
    <t>Riiklike ametiasutuste poolt EUROSURi riikliku koordinatsioonikeskusega algatatud/tõhustatud koostöövormide arv</t>
  </si>
  <si>
    <t>Automaatse piirikontrolli süsteemide ja e-väravate kaudu toimunud piiriületuste arv</t>
  </si>
  <si>
    <t>Piirivalveasutuste poolt sisenemiskeelu saanud isikute arv</t>
  </si>
  <si>
    <t>a) Nende osalejate arv, kes teatavad kolm kuud pärast koolitust, et nad kasutavad koolituse käigus omandatud oskusi ja
pädevust, b) Piirihalduse valdkonnas läbi viidud Schengeni hindamiste ja haavatavuse hindamiste tulemusel esitatud soovituste arv, mida on arvesse võetud.</t>
  </si>
  <si>
    <t>The indicator is used to assess the achievement of targets for the following type of intervention: *improving border control in line with Article 3(1)(a) of Regulation (EU) 2019/1896.</t>
  </si>
  <si>
    <t>The achievement of  targets is not hindered.</t>
  </si>
  <si>
    <t>The indicator is used to assess the achievement of targets for the following type of intervention: *improving border control in line with Article 3(1)(a) of Regulation (EU) 2019/1896; e.g. the management of continuously high levels of migration at the external borders, including through technical and operational reinforcement and through mechanisms and procedures for the identification of vulnerable persons and unaccompanied minors and for the identification of persons who are in need of, or who wish to apply for, international protection, the provision of information to such persons, and the referral of such persons</t>
  </si>
  <si>
    <t xml:space="preserve"> The indicator is used to assess the achievement of targets for the following type of interventions: *improving border control in line with Article 3(1)(a) of Regulation (EU) 2019/1896; *developing the European Border and Coast Guard by supporting national authorities responsible for border management to pursue measures related to capability development and common capacity building, joint procurement, establishment of common standards and any other measures streamlining the cooperation and coordination between the Member States and the European Border and Coast Guard Agency.</t>
  </si>
  <si>
    <t>The indicator is used to assess the achievement of targets for the following type of interventions: *improving border control in line with Article 3(1)(a) of Regulation (EU) 2019/1896; * developing the European Border and Coast Guard by supporting national authorities responsible for border management to pursue measures related to capability development and common capacity building, joint procurement, establishment of common standards and any other measures streamlining the cooperation and coordination between the Member States and the European Border and Coast Guard Agency.</t>
  </si>
  <si>
    <t xml:space="preserve"> The indicator is used to assess the achievement of targets for the following type of interventions: *improving border control in line with Article 3(1)(a) of Regulation (EU) 2019/1896; * developing the European Border and Coast Guard by suporting national authorities responsible for border management to pursue measures related to capability development and common capacity building, joint procurement, establishment of common standards and any other measures streamlining the cooperation and coordination between the Member States and the European Border and Coast Guard Agency; * enhancing inter-agency cooperation at national level among the national authorities responsible for border control or for tasks carried out at the border, and at EU level between the Member States, or between the Member States, on the one hand, and the relevant Union bodies, offices and agencies or third countries, on the other; * ensuring the uniform application of the Union acquis on external borders, including through the implementation of recommendations from quality control mechanisms such as the Schengen evaluation mechanism in line with Regulation (EU) No 1053/2013, vulnerability assessments in line with Regulation (EU) 2019/1896, and national quality control mechanisms.</t>
  </si>
  <si>
    <t>The indicator is used to assess the type of intervention: *Setting up, operating and maintaining large-scale IT systems pursuant to Union law in the area of border management, in particular the Schengen Information System (SIS II), the European Travel Information and Authorisation System (ETIAS), the Entry-Exit System (EES), and Eurodac for border management purposes as well as including the interoperability of these large-scale IT systems and their communication infrastructure, and actions to enhance data quality and the provision of information</t>
  </si>
  <si>
    <t xml:space="preserve"> This indicator is used ot assess the achievement of targets for the following type of interventions: *improving border control in line with Article 3(1)(a) of Regulation (EU) 2019/1896; * developing the European Border and Coast Guard by suporting national authorities responsible for border management to pursue measures related to capability development and common capacity building, joint procurement, establishment of common standards and any other measures streamlining the cooperation and coordination between the Member States and the European Border and Coast Guard Agency; * enhancing inter-agency cooperation at national level among the national authorities responsible for border control or for tasks carried out at the border, and at EU level between the Member States, or between the Member States, on the one hand, and the relevant Union bodies, offices and agencies or third countries, on the other.</t>
  </si>
  <si>
    <t>The indicator is used to assess the achievement of targets for the following type of interventions: * providing efficient and client friendly services to visa applicants while maintaining the security and integrity of the visa procedure, and fully respecting the human dignity and the integrity of the applicant or of the visa holder in accordance with Article 7(2) of Regulation (EC) No 767/2008 of the European Parliament and of the Council of 9 July 2008 concerning the Visa Information System (VIS) and the exchange of data between Member States on short-stay visas; *developing different forms of cooperation between Member States in visa processing.</t>
  </si>
  <si>
    <t xml:space="preserve"> The indicator is used to assess the achievement of targets for the following type of interventions: * providing efficient and client friendly services to visa applicants while maintaining the security and integrity of the visa procedure, and fully respecting the human dignity and the integrity of the applicant or of the visa holder in accordance with Article 7(2) of Regulation (EC) No 767/2008 of the European Parliament and of the Council of 9 July 2008 concerning the Visa Information System (VIS) and the exchange of data between Member States on short-stay visas; *developing different forms of cooperation between Member States in visa processing.</t>
  </si>
  <si>
    <t xml:space="preserve"> The indicator is used to assess the achievement of targets for the following type of interventions:           * providing efficient and client friendly services to visa applicants while maintaining the security and integrity of the visa procedure, and fully respecting the human dignity and the integrity of the applicant or of the visa holder in accordance with Article 7(2) of Regulation (EC) No 767/2008 of the European Parliament and of the Council of 9 July 2008 concerning the Visa Information System (VIS) and the exchange of data between Member States on short-stay visas.</t>
  </si>
  <si>
    <t>The indicator is used to assess the achievement of targets for the following type of interventions:           * providing efficient and client friendly services to visa applicants while maintaining the security and integrity of the visa procedure, and fully respecting the human dignity and the integrity of the applicant or of the visa holder in accordance with Article 7(2) of Regulation (EC) No 767/2008 of the European Parliament and of the Council of 9 July 2008 concerning the Visa Information System (VIS) and the exchange of data between Member States on short-stay visas.</t>
  </si>
  <si>
    <t>Baseline: In 2020 out of 14 seconded participants, 5 replied and all replies were YES. 36 participants took part in seminar in Rakvere. 6  of them replied to the questionaire. All replies were YES. 5+6=11. 11X 100/100=100%. Target: by 2029 70 participants will take part in trainings. All of them will report 3-6 months after the project that they have used the skills in their work.</t>
  </si>
  <si>
    <t>Ministry of Foreign Affairs will carry out 1 co-operation activity per year which includes an audit visit to foreign representation.</t>
  </si>
  <si>
    <t>a) 1, b) 10, c) 159, d) 980</t>
  </si>
  <si>
    <t>To enhance border checks and surveillance at the EU’s external border, support the prevention and detection of cross-border crime, facilitate legitimate border crossings, and manage migratory flows effectively, advanced technologies—such as surveillance cameras, border control equipment, and ABC gates—will be acquired and deployed.</t>
  </si>
  <si>
    <t>To enhance border checks, facilitate legitimate border crossings, and manage migratory flows effectively, ABC gates will be rented and deployed.</t>
  </si>
  <si>
    <t>To enhance border surveillance at the EU’s external border, support the prevention and detection of cross-border crime, advanced technologies—such as drones and UAVs—will be acquired and deployed. In 2022 was the end of the lifespan of the drones purchased in ISFB-11. BMVI support is used for 26 drones which will be used at the Estonian-Russian border. Drones will be registred in the Fontex pool.</t>
  </si>
  <si>
    <t>To enhance border surveillance at the EU’s external border, support the prevention and detection of cross-border crime, advanced technologies—such as drones and UAVs—will be acquired and deployed. 2022 was the end of the lifespan of the drones purchased in ISFB-11. BMVI support is used for 26 drones which will be used at the Estonian-Russian border. Drones will be registred in the Fontex pool.</t>
  </si>
  <si>
    <t>To enhance border surveillance at the EU’s external border, support the prevention and detection of cross-border crime, border guards have to have advanced mobility to react to border incidents rapidly. The lifespan of 149 border guard vehicles (vans, cars, ATVs etc) purchased form the ISFB in 2016 will end in 2026. 13 vans will be replaced with the support of the BMVI. In additon, 20 patrol cars will be purchased as a result of the specific action. All vechicles will be registered in Frontex pool.</t>
  </si>
  <si>
    <t>To enhance border checks and surveillance at the EU’s external border, support the prevention and detection of cross-border crime, facilitate legitimate border crossings, and manage migratory flows effectively, border guards need continuos trainings and co-operation with national and EU authorities</t>
  </si>
  <si>
    <t xml:space="preserve">To enhance border checks and surveillance at the EU’s external border, support the prevention and detection of cross-border crime, facilitate legitimate border crossings, and manage migratory flows effectively, new functionalities in existing IT-systems and their interoperability need to be developed and depolyed. </t>
  </si>
  <si>
    <t xml:space="preserve">To enhance border checks and surveillance at the EU’s external border, support the prevention and detection of cross-border crime, facilitate legitimate border crossings, and manage migratory flows effectively, common IT-systems — such as EES, ETIAS, SIS and their interoperability— need to be developed and depolyed. </t>
  </si>
  <si>
    <t>To ensure effective check and surveillance activities at the EU external borders, prevent and detect cross-border crime, it its important that Member States take up on their responsibilities on developing the EBCG. All movable land and areal means that cannot be hand-held and will be purchased with the supoort of the BMV—such as drones, vehicles and mobile autonomus surveillance systems—will be registered in the Forntex pool.</t>
  </si>
  <si>
    <t>To ensure effective check and surveillance activities at the EU external borders, prevent and detect cross-border crime, it its important that Member States take up on their responsibilities on developing the EBCG. All equipment registered in the Frontex pool will be made depoyable for Frontex operations per annual bilateral agreements.</t>
  </si>
  <si>
    <t>To enhance border checks, facilitate legitimate border crossings, and manage migratory flows effectively, ABC-gates will be rented and deployed. So far all ABC-gates are funded from the BMVI.</t>
  </si>
  <si>
    <t>The indicator is used to assess the achievement of targets for the following type of interventions: *improving border control in line with Article 3(1)(a) of Regulation (EU) 2019/1896;  * ensuring the uniform application of the Union acquis on external borders, including through the implementation of recommendations from quality control mechanisms such as the Schengen evaluation mechanism in line with Regulation (EU) No 1053/2013, vulnerability assessments in line with Regulation (EU) 2019/1896, and national quality control mechanisms.</t>
  </si>
  <si>
    <t>To ensure harmonised approach with regard to the issuance of visas and to facilitate legitimate travel and, while helping prevent migratory and security risks the visa application, process must be efficient, client friendly and security measures must comply with data proection requirements.</t>
  </si>
  <si>
    <t>The indicator is used to assess the achievement of targets for the following type of interventions:* providing efficient and client friendly services to visa applicants while maintaining the security and integrity of the visa procedure, and fully respecting the human dignity and the integrity of the applicant or of the visa holder in accordance with Article 7(2) of Regulation (EC) No 767/2008 of the European Parliament and of the Council of 9 July 2008 concerning the Visa Information System (VIS) and the exchange of data between Member States on short-stay visas;
* ensuring the uniform application of the Union acquis on visas, including the further development and modernisation of the common policy on visas; and
* supporting Member States in issuing visas, including visas with limited territorial validity as referred to in Article 25 of Regulation (EC) No 810/2009 on humanitarian grounds, for reasons of national interest or because of international obligations.</t>
  </si>
  <si>
    <t>To ensure harmonised approach with regard to the issuance of visas and to facilitate legitimate travel and, while helping prevent migratory and security risks, the visa application process must be efficient, client friendly and security measures must comply with data protection requirements. The state should have sufficent number of visa officers and consuls and continuous training must be ensured for them.</t>
  </si>
  <si>
    <t xml:space="preserve"> The indicator is used to assess the achievement of targets for the following type of interventions: * providing efficient and client friendly services to visa applicants while maintaining the security and integrity of the visa procedure, and fully respecting the human dignity and the integrity of the applicant or of the visa holder in accordance with Article 7(2) of Regulation (EC) No 767/2008 of the European Parliament and of the Council of 9 July 2008 concerning the Visa Information System (VIS) and the exchange of data between Member States on short-stay visas; *supporingt Member States in issuing visas, including visas with limited territorial validity, as referred to in Article 25 of Regulation (EC) No 810/2009, issued on humanitarian grounds, for reasons of national interest or because of international obligations.</t>
  </si>
  <si>
    <t xml:space="preserve"> The indicator is used to assess the achievement of targets for the following type of interventions: * providing efficient and client friendly services to visa applicants while maintaining the security and integrity of the visa procedure, and fully respecting the human dignity and the integrity of the applicant or of the visa holder in accordance with Article 7(2) of Regulation (EC) No 767/2008 of the European Parliament and of the Council of 9 July 2008 concerning the Visa Information System (VIS) and the exchange of data between Member States on short-stay visas; *supporting Member States in issuing visas, including visas with limited territorial validity, as referred to in Article 25 of Regulation (EC) No 810/2009, issued on humanitarian grounds, for reasons of national interest or because of international obligations.</t>
  </si>
  <si>
    <t>The indicator is used to assess the achievement of targets for the following type of interventions: * providing efficient and client friendly services to visa applicants while maintaining the security and integrity of the visa procedure, and fully respecting the human dignity and the integrity of the applicant or of the visa holder in accordance with Article 7(2) of Regulation (EC) No 767/2008 of the European Parliament and of the Council of 9 July 2008 concerning the Visa Information System (VIS) and the exchange of data between Member States on short-stay visas.</t>
  </si>
  <si>
    <t>The indicator is used to assess the achievement of targets for the following type of interventions: *ensuring the uniform application of the Union acquis in relation to visas, including the further development and modernisation of the common policy on visas.</t>
  </si>
  <si>
    <t>To ensure harmonised approach with regard to the issuance of visas and to facilitate legitimate travel and, while helping prevent migratory and security risks the visa application process must be efficient, client friendly and security measures must comply with data protection requirements.</t>
  </si>
  <si>
    <t>To ensure harmonised approach with regard to the issuance of visas and to facilitate legitimate travel and, while helping prevent migratory and security risks, the visa application process must be efficient, client friendly and security measures must comply with data protection requirements. THis can be ensured by training visa officers and consuls who will use the gained knoledge in their dayly tasks.</t>
  </si>
  <si>
    <t>To ensure harmonised approach with regard to the issuance of visas and to facilitate legitimate travel and, while helping prevent migratory and security risks, the visa application process must be efficient, client friendly and security measures must comply with data protection requirements. Ministry of foreign Affairs will perform yearly audits to foreign representations and external service providers.</t>
  </si>
  <si>
    <t xml:space="preserve">To ensure harmonised approach with regard to the issuance of visas and to facilitate legitimate travel and, while helping prevent migratory and security risks the visa application process must be efficient, client friendly and security measures must comply with data protection requirements. IT developments in the field of visas will indirectly contribute to this indicator, since the development of the current visa application e-platform has been supported from other sources. </t>
  </si>
  <si>
    <t>The indicator is used to assess the achievement of targets for the following type of interventions: * providing efficient and client friendly services to visa applicants while maintaining the security and integrity of the visa procedure, and fully respecting the human dignity and the integrity of the applicant or of the visa holder in accordance with Article 7(2) of Regulation (EC) No 767/2008 of the European Parliament and of the Council of 9 July 2008 concerning the Visa Information System (VIS) and the exchange of data between Member States on short-stay visas; *developing different forms of cooperation between Member States in visa processing; *Setting up, operating and maintaining large-scale IT systems pursuant to Union law in the area of the common policy on visas, in particular the Visa Information System (VIS) including the interoperability of these large-scale IT systems and their communication infrastructure, and actions to enhance data quality and the provision of information.</t>
  </si>
  <si>
    <t>100% of recommendations from Schengen Evaluations in the area of the integrated border management with financial implication falling under the scope of this specific objective  (excluding the recommendations in the area of visa policy and police cooperation)</t>
  </si>
  <si>
    <t>New project, No will be signed  in autumn 25.</t>
  </si>
  <si>
    <t>Each equipment is reported only once within one project, e-gates once within the financial period. Equipment is reported in report following the registration in the inventory system "TIIU". The beneficiary has an obligation to upload the extract from the inventory system to the fund management IT -system SFOS.</t>
  </si>
  <si>
    <t>The cost for this indicator consist of 5% of transfer from AMIF (1 049 746,23 € - 75% EU + 25% national funding). Most of equipment will not be registred in the TEP nor put at the disposal of the EBCGA, since the BMVI regulation foresees the obligation only for large-scale equipment (3 mobile surveillance systems will be registred in the TEP.  Costs for BMVI/2024/SA/1.4.2/002 and BMVI/20204/SA/1.1.5/001 are included under R1.18. Cost for the Pact related equipment are included under O.1.2.</t>
  </si>
  <si>
    <t>The achievement of  targets may be influenced by the result of the new procurement.</t>
  </si>
  <si>
    <t xml:space="preserve">Upon project closure </t>
  </si>
  <si>
    <t>Each ABC-gate is reported only once within the financial period in the report following the registration in the inventory system "TIIU". The beneficiary has an obligation to upload the extract from the inventory system to the fund management IT-system SFOS.</t>
  </si>
  <si>
    <t>ABC-gates will not be registred in the TEP nor put at the disposal of Frontex, since these will not work without specific development to integrate  those to the bordercontrol ICT system. Costs are included in O.1.1</t>
  </si>
  <si>
    <t>Each infrastucture is reported only once within the financial period. The inrastructure is reoprted as soon as activities start in the project.</t>
  </si>
  <si>
    <t xml:space="preserve">To enhance border surveillance at the EU’s external border, support the prevention and detection of cross-border crime, aquired technology needs to be operational at all times. Budget for maintenance and necessary repairworks is foreseen. To enhance border checks, facilitate legitimate border crossings, and manage migratory flows effectively the lighting in the BCPs  will be upgraded and screening facilities will be created and maintained. </t>
  </si>
  <si>
    <r>
      <t xml:space="preserve">Undisruptable data flow is ensured by proper maintenance and repair of surveillance systems at the </t>
    </r>
    <r>
      <rPr>
        <b/>
        <sz val="11"/>
        <color theme="1"/>
        <rFont val="Calibri"/>
        <family val="2"/>
        <charset val="186"/>
        <scheme val="minor"/>
      </rPr>
      <t>Estonian-Russian border</t>
    </r>
    <r>
      <rPr>
        <sz val="11"/>
        <color theme="1"/>
        <rFont val="Calibri"/>
        <family val="2"/>
        <charset val="186"/>
        <scheme val="minor"/>
      </rPr>
      <t xml:space="preserve">, which is counted as one infrastructure. </t>
    </r>
    <r>
      <rPr>
        <b/>
        <sz val="11"/>
        <color theme="1"/>
        <rFont val="Calibri"/>
        <family val="2"/>
        <charset val="186"/>
        <scheme val="minor"/>
      </rPr>
      <t>Lighting is upgraded in 6 BCPs</t>
    </r>
    <r>
      <rPr>
        <sz val="11"/>
        <color theme="1"/>
        <rFont val="Calibri"/>
        <family val="2"/>
        <charset val="186"/>
        <scheme val="minor"/>
      </rPr>
      <t xml:space="preserve"> to enable more client -friendly use of self-service kiosks in 6 BCPs.  </t>
    </r>
    <r>
      <rPr>
        <b/>
        <sz val="11"/>
        <color theme="1"/>
        <rFont val="Calibri"/>
        <family val="2"/>
        <charset val="186"/>
        <scheme val="minor"/>
      </rPr>
      <t>An accommodation capacity is established</t>
    </r>
    <r>
      <rPr>
        <sz val="11"/>
        <color theme="1"/>
        <rFont val="Calibri"/>
        <family val="2"/>
        <charset val="186"/>
        <scheme val="minor"/>
      </rPr>
      <t xml:space="preserve"> and horizontal running costs covered </t>
    </r>
    <r>
      <rPr>
        <b/>
        <sz val="11"/>
        <color theme="1"/>
        <rFont val="Calibri"/>
        <family val="2"/>
        <charset val="186"/>
        <scheme val="minor"/>
      </rPr>
      <t xml:space="preserve">for the screening </t>
    </r>
    <r>
      <rPr>
        <sz val="11"/>
        <color theme="1"/>
        <rFont val="Calibri"/>
        <family val="2"/>
        <charset val="186"/>
        <scheme val="minor"/>
      </rPr>
      <t xml:space="preserve">of third-country nationals. It includes both mobile houses as well as the renovation and transformation of a block of the Detention centre in Tallinn. The capacity for screening may be used also for the border procedures if necessary. </t>
    </r>
  </si>
  <si>
    <t>To enhance border surveillance at the EU’s external border, support the prevention and detection of cross-border crime, facilitate legitimate border crossings, and manage migratory flows effectively Luhamaa border station needs to be exapnded and new border section in Võmmorski area needs to built, Construction works are funded from the state udget. BMVI support is used for preparation of construction works, i.e the design of construction projects and supervision that the coonstruction project has been followed.</t>
  </si>
  <si>
    <t>Each facility is reported only once during the programme. The facility is reoprted as soon as activities start in the project.</t>
  </si>
  <si>
    <t>2500€ x 26 drones =65 000€;
remote 542€ x 26 = 14092€, transportation case 100€ X 26 = 2 600€
fly more kit (incl. 2 battaries, charger etc) 375 X 26 = 9 750€    VAT 20%  TOTAL cost 91442*1,2=109730,40. The market reseach was done in 2019.</t>
  </si>
  <si>
    <t>Each areal vechile is reported only once within the project in a report following the registration in the inventory system "SÕIDUK".  The beneficiary has an obligation to upload the extract from the inventory system to the fund management IT -system SFOS.</t>
  </si>
  <si>
    <r>
      <t xml:space="preserve">Projects No </t>
    </r>
    <r>
      <rPr>
        <b/>
        <sz val="11"/>
        <color theme="1"/>
        <rFont val="Calibri"/>
        <family val="2"/>
        <charset val="186"/>
        <scheme val="minor"/>
      </rPr>
      <t>BMVI.1.01.23-0023</t>
    </r>
    <r>
      <rPr>
        <sz val="11"/>
        <color theme="1"/>
        <rFont val="Calibri"/>
        <family val="2"/>
        <charset val="186"/>
        <scheme val="minor"/>
      </rPr>
      <t xml:space="preserve"> and </t>
    </r>
    <r>
      <rPr>
        <b/>
        <sz val="11"/>
        <color theme="1"/>
        <rFont val="Calibri"/>
        <family val="2"/>
        <charset val="186"/>
        <scheme val="minor"/>
      </rPr>
      <t>BMVI.1.01.23-0007</t>
    </r>
    <r>
      <rPr>
        <sz val="11"/>
        <color theme="1"/>
        <rFont val="Calibri"/>
        <family val="2"/>
        <charset val="186"/>
        <scheme val="minor"/>
      </rPr>
      <t xml:space="preserve"> interim and final reports</t>
    </r>
  </si>
  <si>
    <r>
      <t xml:space="preserve">Project's No </t>
    </r>
    <r>
      <rPr>
        <b/>
        <sz val="11"/>
        <color theme="1"/>
        <rFont val="Calibri"/>
        <family val="2"/>
        <charset val="186"/>
        <scheme val="minor"/>
      </rPr>
      <t>BMVI.1.01.23-0004</t>
    </r>
    <r>
      <rPr>
        <sz val="11"/>
        <color theme="1"/>
        <rFont val="Calibri"/>
        <family val="2"/>
        <charset val="186"/>
        <scheme val="minor"/>
      </rPr>
      <t xml:space="preserve"> interim and final reports.</t>
    </r>
  </si>
  <si>
    <t xml:space="preserve">The same unmanned aerial vehicle is also be reported under the indicator O1.5 "Number of aerial vehicles purchased". Each areal vechile is reported only once.
</t>
  </si>
  <si>
    <t xml:space="preserve">
The equipment is also reported under the indicator "Number of items of equipment purchased for border crossing points". Each ABC-gate is reported only once during the programme.
</t>
  </si>
  <si>
    <t>Each land vechile is reported only once within the project in a report following the registration in the inventory system "SÕIDUK".  The beneficiary has an obligation to upload the extract from the inventory system to the fund management IT -system SFOS.</t>
  </si>
  <si>
    <t>To enhance border checks and surveillance at the EU’s external border, support the prevention and detection of cross-border crime, facilitate legitimate border crossings, and manage migratory flows effectively, Ther should be adequate number of staff hired and continuos trainings and co-operation with national and EU authorities carried out.</t>
  </si>
  <si>
    <t>Each participant is reported only once within the project. Participant is reported in the report that follows the first entrance to the project. Beneficiary has an obligation to keep participant lists for trainings and other events.</t>
  </si>
  <si>
    <t>Each participant is reported only once within the project. Participant is reported in the report that follows the first entrance to the project. Beneficiary has an obligation to keep participant lists for trainings and other events which will be uploaded in the Fund Management System SFOS by the request of the Managing Authority.</t>
  </si>
  <si>
    <t xml:space="preserve">Associated result indicator: Number of participants who report 3 months after the training activity that they are using the skills and competences acquired during the training. SNE and training costs are taken into account in this column.  IO SA (BMVI/2021/SA/1.5.4/008) costs are counted under O.1.11, 10 multipurpose center's officers salary is coutned under O.1.2. Training costs in BMVI.1.01.24-0027, and BMVI.1.01.24-0028 are counted under O.1.11. Participation costs for the SA BMVI/2021-2022/SA/1.2.1/003 are counted under O.1.1. </t>
  </si>
  <si>
    <t>Associated result indicator: Number of participants who report 3 months after the training activity that they are using the skills and competences acquired during the training. Costs are included in O.1.8, O.1.2, O.1.11, O.1.1.</t>
  </si>
  <si>
    <r>
      <rPr>
        <b/>
        <sz val="11"/>
        <color theme="1"/>
        <rFont val="Calibri"/>
        <family val="2"/>
        <charset val="186"/>
        <scheme val="minor"/>
      </rPr>
      <t>EES, ETIAS , SIS and Interoperability</t>
    </r>
    <r>
      <rPr>
        <sz val="11"/>
        <color theme="1"/>
        <rFont val="Calibri"/>
        <family val="2"/>
        <charset val="186"/>
        <scheme val="minor"/>
      </rPr>
      <t xml:space="preserve"> regulations need to be implemented. Costs for the developments have been estimated based on calcualtions made by the The IT and Development Centre of the Ministry of the Interior.</t>
    </r>
  </si>
  <si>
    <t>The achievement of the targets cannot be influenced due to the fact that implementations of EU large-scale IT systems are obligatory. Systems will be upgrded/developed at least to some extent, therefore reported. Systems EiO is dependent on eu-LISA's activity.</t>
  </si>
  <si>
    <t>The achievement of the targets cannot be influenced due to the fact that implementation of EU large-scale IT systems are obligatory. Systems will be upgrded/developed at least to some extent, therefore reported. Systems EiO is dependent on eu-LISA's activity.</t>
  </si>
  <si>
    <t>BMVI.1.01.24-0030</t>
  </si>
  <si>
    <r>
      <t xml:space="preserve">New project, No will be signed  after ETIAS </t>
    </r>
    <r>
      <rPr>
        <i/>
        <sz val="11"/>
        <color theme="1"/>
        <rFont val="Calibri"/>
        <family val="2"/>
        <charset val="186"/>
        <scheme val="minor"/>
      </rPr>
      <t>live</t>
    </r>
  </si>
  <si>
    <t>New project, no will be signed in autumn 2025</t>
  </si>
  <si>
    <t xml:space="preserve">ESIS; iSPOC, EUROPOL, INTERPOL, Yellow links, identification, ESP interface, U-form; *improved drone detection functionality and undisrupted data flows (Specific Action BMVI/2024/SA/1.4.2/002); *screening module, data exchange between ILLEGAAL 2 and PIKO, data exchange between ILLEGAAL2 and RAKS2, data exchange between ILLEGAAL2 and e-file, data exchange between RAKS2 and e-file, data exchange between e-faile and court system, ESP, CIR (Specific Action related to the Pact - IT-developments), *Translation module (Specific Action related to the Pact), *Fuzzy search (No 19 – N.SIS and iSPOC(SIRENE CMS) only), MMS and MPS searches, SIS is adapted in such a way that the obtained search results are easy to process, warning markers are highlighted as a result of a query of a SIS alert, transliteration tool improvement. </t>
  </si>
  <si>
    <t xml:space="preserve">Each functionality is reported once. </t>
  </si>
  <si>
    <t>Each functionality is reported once within one project. Beneficiary describes in the report what kind of functionality was created.</t>
  </si>
  <si>
    <t>Each large-scale IT system is reported once. Beneficiary lists the IT-systems in the report as soon as project activities begin.</t>
  </si>
  <si>
    <r>
      <t xml:space="preserve">Project interim and final reports. Projects No </t>
    </r>
    <r>
      <rPr>
        <b/>
        <sz val="11"/>
        <color theme="1"/>
        <rFont val="Calibri"/>
        <family val="2"/>
        <charset val="186"/>
        <scheme val="minor"/>
      </rPr>
      <t>BMVI.1.01.23-0020, BMVI.1.01.23-0017, BMVI.1.01.24-0028, BMVI.1.01.24-0027, BMVI.1.01.24-0030 and two new project regarding to the Pact (IT-developments + translation module</t>
    </r>
    <r>
      <rPr>
        <sz val="11"/>
        <color theme="1"/>
        <rFont val="Calibri"/>
        <family val="2"/>
        <charset val="186"/>
        <scheme val="minor"/>
      </rPr>
      <t>) will contribute to this indicator.</t>
    </r>
  </si>
  <si>
    <r>
      <t xml:space="preserve">Project interim and final reports. Projects No </t>
    </r>
    <r>
      <rPr>
        <b/>
        <sz val="11"/>
        <color theme="1"/>
        <rFont val="Calibri"/>
        <family val="2"/>
        <charset val="186"/>
        <scheme val="minor"/>
      </rPr>
      <t>BMVI.1.01.23-0020, BMVI.1.01.23-0021, BMVI.1.01.23-0014, BMVI.1.01.23-0018, BMVI.1.01.23-0019, BMVI.1.01.23-0016, BMVI.1.01.23-0017, BMVI.1.01.23-0015, BMVI.1.01.24-0028, BMVI.1.01.24-0027 and a new project that will be launched after the ETIAS EiO</t>
    </r>
    <r>
      <rPr>
        <sz val="11"/>
        <color theme="1"/>
        <rFont val="Calibri"/>
        <family val="2"/>
        <charset val="186"/>
        <scheme val="minor"/>
      </rPr>
      <t xml:space="preserve"> will contribute to this indicator.</t>
    </r>
  </si>
  <si>
    <r>
      <t xml:space="preserve">Projects No </t>
    </r>
    <r>
      <rPr>
        <b/>
        <sz val="11"/>
        <color theme="1"/>
        <rFont val="Calibri"/>
        <family val="2"/>
        <charset val="186"/>
        <scheme val="minor"/>
      </rPr>
      <t>BMVI.1.01.23-0002, BMVI.1.01.24-0026</t>
    </r>
    <r>
      <rPr>
        <sz val="11"/>
        <color theme="1"/>
        <rFont val="Calibri"/>
        <family val="2"/>
        <charset val="186"/>
        <scheme val="minor"/>
      </rPr>
      <t xml:space="preserve"> will contribute to this indicator. </t>
    </r>
  </si>
  <si>
    <r>
      <t xml:space="preserve">Projects No </t>
    </r>
    <r>
      <rPr>
        <b/>
        <sz val="11"/>
        <color theme="1"/>
        <rFont val="Calibri"/>
        <family val="2"/>
        <charset val="186"/>
        <scheme val="minor"/>
      </rPr>
      <t>BMVI.1.01.23-0009, BMVI.1.01.24-0028 and part of the SA to support Member States in the implementation of the Pact on Migration and Asylum</t>
    </r>
    <r>
      <rPr>
        <sz val="11"/>
        <color theme="1"/>
        <rFont val="Calibri"/>
        <family val="2"/>
        <charset val="186"/>
        <scheme val="minor"/>
      </rPr>
      <t xml:space="preserve"> will contribute to this indicator.</t>
    </r>
  </si>
  <si>
    <r>
      <t xml:space="preserve">Project No </t>
    </r>
    <r>
      <rPr>
        <b/>
        <sz val="11"/>
        <color theme="1"/>
        <rFont val="Calibri"/>
        <family val="2"/>
        <charset val="186"/>
        <scheme val="minor"/>
      </rPr>
      <t>BMVI.1.01.23-0010</t>
    </r>
    <r>
      <rPr>
        <sz val="11"/>
        <color theme="1"/>
        <rFont val="Calibri"/>
        <family val="2"/>
        <charset val="186"/>
        <scheme val="minor"/>
      </rPr>
      <t xml:space="preserve"> interim and final reports.</t>
    </r>
  </si>
  <si>
    <r>
      <t xml:space="preserve">Project interim and final reports. Projects No </t>
    </r>
    <r>
      <rPr>
        <b/>
        <sz val="11"/>
        <color theme="1"/>
        <rFont val="Calibri"/>
        <family val="2"/>
        <charset val="186"/>
        <scheme val="minor"/>
      </rPr>
      <t>BMVI.1.01.23-0003, BMVI.1.01.23-0005, BMVI.1.01.23-0006, BMVI.1.01.24-0029, BMVI.1.01.23-0010, BMVI.1.01.22-0001, BMVI.1.01.25-0030, BMVI.1.01.25-0031, a new project for border section 9-11 and  two new projects related to the Pact.</t>
    </r>
  </si>
  <si>
    <r>
      <t xml:space="preserve">Beneficiary reports the item in the report following the signment of the agreement. </t>
    </r>
    <r>
      <rPr>
        <b/>
        <sz val="11"/>
        <color theme="1"/>
        <rFont val="Calibri"/>
        <family val="2"/>
        <charset val="186"/>
        <scheme val="minor"/>
      </rPr>
      <t xml:space="preserve">Projects no BMVI.1.01.23-0004, BMVI.1.01.23-0007, BMVI.1.01.23-0023, and BMVI.1.01.22-0001 </t>
    </r>
    <r>
      <rPr>
        <sz val="11"/>
        <color theme="1"/>
        <rFont val="Calibri"/>
        <family val="2"/>
        <charset val="186"/>
        <scheme val="minor"/>
      </rPr>
      <t>will contribute to this indicator.</t>
    </r>
  </si>
  <si>
    <r>
      <t xml:space="preserve">Beneficiary reports the item in the report following the registration in the TEP. Projects no </t>
    </r>
    <r>
      <rPr>
        <b/>
        <sz val="11"/>
        <color theme="1"/>
        <rFont val="Calibri"/>
        <family val="2"/>
        <charset val="186"/>
        <scheme val="minor"/>
      </rPr>
      <t>BMVI.1.01.23-0004, BMVI.1.01.23-0007, BMVI.1.01.23-0023, and BMVI.1.01.22-0001</t>
    </r>
    <r>
      <rPr>
        <sz val="11"/>
        <color theme="1"/>
        <rFont val="Calibri"/>
        <family val="2"/>
        <charset val="186"/>
        <scheme val="minor"/>
      </rPr>
      <t xml:space="preserve"> will contribute to this indicator.</t>
    </r>
  </si>
  <si>
    <t>Managing Authority will request data fromt the Police and Border Guard Board twice a year (January and July).</t>
  </si>
  <si>
    <t>When item is  registred in the TEP</t>
  </si>
  <si>
    <t>Regular actions 75%, Operating support 75%, Specific actions 90%</t>
  </si>
  <si>
    <t>Regular actions 75%, opertaing support (ABC-gates) 75%, Specific action 90%</t>
  </si>
  <si>
    <t>Data collected by the Member State. It is not generated by specific projects. Managing Authority will request data fromt the Police and Border Guard Board twice a year (January and July).</t>
  </si>
  <si>
    <t>Every six months</t>
  </si>
  <si>
    <t xml:space="preserve">Data collected by the Member State. It is not generated by specific projects.
Member States should report (under comments in table 6B Annex VII CPR) the total number of visa applications. Managing Authority will request data fromt the Police and Border Guard Board twice a year (January and July).
</t>
  </si>
  <si>
    <t>Managing Authority will report in ToD twice a year to which reccommendation the BMVI has contributed.</t>
  </si>
  <si>
    <t>Costs are included in O.1.11, cost related to BMVI.1.01.24-0030 are covered by O.1.18.</t>
  </si>
  <si>
    <t>IT system is reported only once. Beneficiary lists the IT-systems in the report as soon as project activities begin.</t>
  </si>
  <si>
    <r>
      <t xml:space="preserve">Projects no </t>
    </r>
    <r>
      <rPr>
        <b/>
        <sz val="11"/>
        <color theme="1"/>
        <rFont val="Calibri"/>
        <family val="2"/>
        <charset val="186"/>
        <scheme val="minor"/>
      </rPr>
      <t>BMVI.1.01.23-0011, BMVI.1.01.23-0017, BMVI.1.01.24-0025, BMVI.1.01.22-0001, BMVI.1.01.23-0008, BMVI.1.01.24-0014, BMVI.1.01.23-0013, BMVI.1.01.24-0028, BMVI.1.01.24-0027, BMVI.1.01.25-0031</t>
    </r>
    <r>
      <rPr>
        <sz val="11"/>
        <color theme="1"/>
        <rFont val="Calibri"/>
        <family val="2"/>
        <charset val="186"/>
        <scheme val="minor"/>
      </rPr>
      <t xml:space="preserve"> will contribute to this indicator. The beneficiary: (1) records the result of each participant after the participant finished each training activity,
(2) calculates the overall result for each participant by establishing the average of the individual results reported under point 1 above. This step is carried out upon project closure.
(3) If the overall result for the participant is positive, reports it under the indicator.
The overall result is considered to be positive when the majority of responses
(&gt;50%) from the participant indicated that he/she is using the skills and
competences acquired during the training activity. If the overall result is 50:50
(e.g. two positive and two negative responses), the most recent result recorded
should be reported as overall result for this participant.</t>
    </r>
  </si>
  <si>
    <t>Police and Border Gard Board</t>
  </si>
  <si>
    <t>BMVI.1.02.23-0001</t>
  </si>
  <si>
    <t>BMVI.1.02.23-0002</t>
  </si>
  <si>
    <t>BMVI.1.02.23-0005</t>
  </si>
  <si>
    <t>BMVI.1.02.23-0004</t>
  </si>
  <si>
    <r>
      <t xml:space="preserve">Project iterim and final reports. Projects No </t>
    </r>
    <r>
      <rPr>
        <b/>
        <sz val="11"/>
        <color theme="1"/>
        <rFont val="Calibri"/>
        <family val="2"/>
        <charset val="186"/>
        <scheme val="minor"/>
      </rPr>
      <t>BMVI.1.02.23-0001 and BMVI.1.02.23-0002</t>
    </r>
    <r>
      <rPr>
        <sz val="11"/>
        <color theme="1"/>
        <rFont val="Calibri"/>
        <family val="2"/>
        <charset val="186"/>
        <scheme val="minor"/>
      </rPr>
      <t xml:space="preserve"> will contribute to this indicator.</t>
    </r>
  </si>
  <si>
    <t>Each project is counted only once. The beneficiary reports the project in the report following the start of first activities.</t>
  </si>
  <si>
    <t xml:space="preserve">Number of Automated Border Control gates/self-service systems /e-gates purchased. Same costs are reported under O.1.1 and O.1.1.1. </t>
  </si>
  <si>
    <t>Cost are reported under O.1.8.1</t>
  </si>
  <si>
    <t>Project interim and final reports. New operational support project managed by the Ministry of Foreign Affairs will contribute to this indicator.</t>
  </si>
  <si>
    <t>Prognosis is based on the structure of the Ministry of the Foregin Affairs</t>
  </si>
  <si>
    <t>Costs are covered by O.2.1</t>
  </si>
  <si>
    <t xml:space="preserve">IT functionalities cover all aspects of IT systems including of large-scale IT systems falling within the scope of this specific objective. Projects BMVI.1.02.23-0001 and BMVI.1.02.23-0002 will contribute to this indicator.
Funcionality that is developped means a new functionality.
Functionality that is maintained/upgraded means any modification after its delivery to correct faults, to improve performance or other attributes.
Examples of functionalities:
- For the Common Identity Repository (CIR): Create / Update and Delete
- For the Shared Biometric Matching System (sBMS): Number of enrolments, verification, identification
- For the Multiple Identity Detector (MID): Number of links created, number of yellow links resolved.
</t>
  </si>
  <si>
    <r>
      <t xml:space="preserve">Project interim and final reports.  Projects </t>
    </r>
    <r>
      <rPr>
        <b/>
        <sz val="11"/>
        <color theme="1"/>
        <rFont val="Calibri"/>
        <family val="2"/>
        <charset val="186"/>
        <scheme val="minor"/>
      </rPr>
      <t>BMVI.1.02.23-0001 and BMVI.1.02.23-0002</t>
    </r>
    <r>
      <rPr>
        <sz val="11"/>
        <color theme="1"/>
        <rFont val="Calibri"/>
        <family val="2"/>
        <charset val="186"/>
        <scheme val="minor"/>
      </rPr>
      <t xml:space="preserve"> will contribute to this indicator.</t>
    </r>
  </si>
  <si>
    <r>
      <t xml:space="preserve">Project interim and final reports. Projects </t>
    </r>
    <r>
      <rPr>
        <b/>
        <sz val="11"/>
        <color theme="1"/>
        <rFont val="Calibri"/>
        <family val="2"/>
        <charset val="186"/>
        <scheme val="minor"/>
      </rPr>
      <t>BMVI.1.02.23-0001 and BMVI.1.02.23-0002</t>
    </r>
    <r>
      <rPr>
        <sz val="11"/>
        <color theme="1"/>
        <rFont val="Calibri"/>
        <family val="2"/>
        <charset val="186"/>
        <scheme val="minor"/>
      </rPr>
      <t xml:space="preserve"> will contribute to this indicator.</t>
    </r>
  </si>
  <si>
    <t>New project, No will be signed in autumn 2025</t>
  </si>
  <si>
    <r>
      <t>Projects no</t>
    </r>
    <r>
      <rPr>
        <b/>
        <sz val="11"/>
        <color theme="1"/>
        <rFont val="Calibri"/>
        <family val="2"/>
        <charset val="186"/>
        <scheme val="minor"/>
      </rPr>
      <t xml:space="preserve"> BMVI.1.02.23-0002 and a new operating support project</t>
    </r>
    <r>
      <rPr>
        <sz val="11"/>
        <color theme="1"/>
        <rFont val="Calibri"/>
        <family val="2"/>
        <charset val="186"/>
        <scheme val="minor"/>
      </rPr>
      <t xml:space="preserve"> will contribute to this indicator</t>
    </r>
  </si>
  <si>
    <t>Each recommendation is reported only once.</t>
  </si>
  <si>
    <r>
      <t xml:space="preserve">Project No </t>
    </r>
    <r>
      <rPr>
        <b/>
        <sz val="11"/>
        <color theme="1"/>
        <rFont val="Calibri"/>
        <family val="2"/>
        <charset val="186"/>
        <scheme val="minor"/>
      </rPr>
      <t>BMVI.1.02.23-0005</t>
    </r>
    <r>
      <rPr>
        <sz val="11"/>
        <color theme="1"/>
        <rFont val="Calibri"/>
        <family val="2"/>
        <charset val="186"/>
        <scheme val="minor"/>
      </rPr>
      <t xml:space="preserve"> interim and final report</t>
    </r>
  </si>
  <si>
    <r>
      <t xml:space="preserve">Projects No </t>
    </r>
    <r>
      <rPr>
        <b/>
        <sz val="11"/>
        <color theme="1"/>
        <rFont val="Calibri"/>
        <family val="2"/>
        <charset val="186"/>
        <scheme val="minor"/>
      </rPr>
      <t>BMVI.1.02.23-0004 and BMVI.1.02.23-0005</t>
    </r>
    <r>
      <rPr>
        <sz val="11"/>
        <color theme="1"/>
        <rFont val="Calibri"/>
        <family val="2"/>
        <charset val="186"/>
        <scheme val="minor"/>
      </rPr>
      <t xml:space="preserve"> will contribute to this indicator. Between 3-6 months after a participant has received the training, his/her result is recorded and reported under this indicator. If a participant attended several training activities within the same project, the following steps are taken for recording the data:
(1) record the result of each participant 3-6 months after the participant finished each training activity,
(2) calculate the overall result for each participant by establishing the average of the individual results reported under point 1 above. This step is carried out upon project closure.
(3) If the overall result for the participant is positive, report it under the indicator. The overall result is considered to be positive when the majority of responses (&gt; 50%) from the participant indicated that he/she is using the skills and competences acquired during the training activity. If the overall result is 50:50 (e.g. two positive and two negative responses), the most recent result recorded is reported as overall result for this participant.
A result means the participants’ assessment of whether he/she is using the skills acquired. The target and reported data of this indicator cannot be higher than the one for the indicator ‘Number of participants in training activities’.</t>
    </r>
  </si>
  <si>
    <t xml:space="preserve">Number of participants who report 3 months after a training activity that they are using the skills and competences acquired during that training activity </t>
  </si>
  <si>
    <t xml:space="preserve">To ensure harmonised approach with regard to the issuance of visas and to facilitate legitimate travel and, while helping prevent migratory and security risks the visa application process must be efficient, client friendly and security measures must comply with data proection requirements. MTR funds will be used to fulfill the Scheval recommendations No 56, 60, 65, 67, 69, 71, 84 and 100. </t>
  </si>
  <si>
    <t xml:space="preserve">Costs are included in O.2.1. Average of similar trainings (project ISFB-36) in 2020 is used to set a target. 100% of participants reported that they have used the skills aquired. Since it is planned to carry out  only work related trainings, the target is set to 100%. Cost is included in associated output indicator "Number of participants supported."  </t>
  </si>
  <si>
    <t>Cost is included in output indicator O.2.2 "Number of participants supported"</t>
  </si>
  <si>
    <t>Specific Action 90%, Operating support 75%</t>
  </si>
  <si>
    <t>a) 0, b) 0, c) 0</t>
  </si>
  <si>
    <r>
      <t xml:space="preserve">The establishment and maintenance of Estonian-Russian border is a proirity of Estonian government and large undertaking mostly funded by national budget. BMVI covers only a small share of it. Project No BMVI.1.01.24-0028 costs (lighting upgrade in BCPs) are taken into account under O1.11. </t>
    </r>
    <r>
      <rPr>
        <sz val="11"/>
        <color theme="8" tint="-0.249977111117893"/>
        <rFont val="Calibri"/>
        <family val="2"/>
        <charset val="186"/>
        <scheme val="minor"/>
      </rPr>
      <t xml:space="preserve">Within the project to create screening capacity also services are provided for TCN-s. For this purpose two additonal indicators (taken from the AMIF regulaton) will be collected: • number of newly created places in accordance with </t>
    </r>
    <r>
      <rPr>
        <i/>
        <sz val="11"/>
        <color theme="8" tint="-0.249977111117893"/>
        <rFont val="Calibri"/>
        <family val="2"/>
        <charset val="186"/>
        <scheme val="minor"/>
      </rPr>
      <t>Union acquis</t>
    </r>
    <r>
      <rPr>
        <sz val="11"/>
        <color theme="8" tint="-0.249977111117893"/>
        <rFont val="Calibri"/>
        <family val="2"/>
        <charset val="186"/>
        <scheme val="minor"/>
      </rPr>
      <t xml:space="preserve"> – target 159 places,  • number of third country nationals assisted – target 980 persons (set by experts of PBGB based on previous data.) </t>
    </r>
  </si>
  <si>
    <t>Cost of indicator (EU contribution)</t>
  </si>
  <si>
    <r>
      <rPr>
        <b/>
        <sz val="11"/>
        <color theme="8" tint="-0.249977111117893"/>
        <rFont val="Calibri"/>
        <family val="2"/>
        <charset val="186"/>
        <scheme val="minor"/>
      </rPr>
      <t>Equipment to which an inventory number is assigned according to the national rules will be counted under this indicator. If the set of equipment has one inventory number, it is counted as one even if the set consists of hundred pieces of equipment in one border section. This kind of methodololy is used for security reasons.</t>
    </r>
    <r>
      <rPr>
        <b/>
        <sz val="11"/>
        <color theme="1"/>
        <rFont val="Calibri"/>
        <family val="2"/>
        <charset val="186"/>
        <scheme val="minor"/>
      </rPr>
      <t xml:space="preserve"> Rent of ABC-gates (20)</t>
    </r>
    <r>
      <rPr>
        <sz val="11"/>
        <color theme="1"/>
        <rFont val="Calibri"/>
        <family val="2"/>
        <charset val="186"/>
        <scheme val="minor"/>
      </rPr>
      <t>: The BMVI operating costs will be used to rent 18 ABC gates for the period of 2023-2025 and 20 gates for the period of 2026-2029.</t>
    </r>
    <r>
      <rPr>
        <b/>
        <sz val="11"/>
        <color theme="1"/>
        <rFont val="Calibri"/>
        <family val="2"/>
        <charset val="186"/>
        <scheme val="minor"/>
      </rPr>
      <t xml:space="preserve"> Border control equipment (1000 pc):</t>
    </r>
    <r>
      <rPr>
        <sz val="11"/>
        <color theme="1"/>
        <rFont val="Calibri"/>
        <family val="2"/>
        <charset val="186"/>
        <scheme val="minor"/>
      </rPr>
      <t xml:space="preserve"> (e.g fingerprint scanners, document control equipment, BAR-code readers, multifunctional flash lights). 3,000,000 € has been budgeted for border control equipment based on previous procurements (national e-procurement ref no-s 166818, 169400, 188683, 189227,201383, 194922, 175525, 228478) concluded in projects ISFB-7 and ISFB-33. The aim is to replace the equipment for all workstations. 1000 items is an indicative number prognosed by the Estonian Police and Border Guard experts, the real number of items will be specified after execution of public procuremenst. </t>
    </r>
    <r>
      <rPr>
        <b/>
        <sz val="11"/>
        <color theme="1"/>
        <rFont val="Calibri"/>
        <family val="2"/>
        <charset val="186"/>
        <scheme val="minor"/>
      </rPr>
      <t xml:space="preserve">Border surveillance equipment (321): </t>
    </r>
    <r>
      <rPr>
        <sz val="11"/>
        <color theme="1"/>
        <rFont val="Calibri"/>
        <family val="2"/>
        <charset val="186"/>
        <scheme val="minor"/>
      </rPr>
      <t xml:space="preserve">Estonia is currenlty building the EU external land border funded by the state budget. Surveillance system (equipment) will be partially funded form the BMVI. The number of necessary equipment has changed over the years. Surveillance equipment will be registred in the inventory system "TIIU" as a set for each border section, thus the initial target of 3000 pieces have been significantly lowered. After the MTR the number of equipment for border sections is 321. The set consists of cameras, network switches, servers, etc. The exact list and types of equipment is classified information. As a result of specific action BMVI/2021-2022/SA/1.2.1/003 </t>
    </r>
    <r>
      <rPr>
        <b/>
        <sz val="11"/>
        <color theme="1"/>
        <rFont val="Calibri"/>
        <family val="2"/>
        <charset val="186"/>
        <scheme val="minor"/>
      </rPr>
      <t xml:space="preserve">4 mobile surevillance solutions </t>
    </r>
    <r>
      <rPr>
        <sz val="11"/>
        <color theme="1"/>
        <rFont val="Calibri"/>
        <family val="2"/>
        <charset val="186"/>
        <scheme val="minor"/>
      </rPr>
      <t>was planned to purchased. Offers game in with much higher price and the budget allowes to purchase only 3 solutions. Target remains 4.</t>
    </r>
    <r>
      <rPr>
        <b/>
        <sz val="11"/>
        <color theme="1"/>
        <rFont val="Calibri"/>
        <family val="2"/>
        <charset val="186"/>
        <scheme val="minor"/>
      </rPr>
      <t xml:space="preserve"> 15 radars, 60 sensors and 40 C-UAS devices</t>
    </r>
    <r>
      <rPr>
        <sz val="11"/>
        <color theme="1"/>
        <rFont val="Calibri"/>
        <family val="2"/>
        <charset val="186"/>
        <scheme val="minor"/>
      </rPr>
      <t xml:space="preserve"> in connection with Specific Action BMVI/2024/SA/1.4.2/002 and in total </t>
    </r>
    <r>
      <rPr>
        <b/>
        <sz val="11"/>
        <color theme="1"/>
        <rFont val="Calibri"/>
        <family val="2"/>
        <charset val="186"/>
        <scheme val="minor"/>
      </rPr>
      <t>8 pieces of equipmen</t>
    </r>
    <r>
      <rPr>
        <sz val="11"/>
        <color theme="1"/>
        <rFont val="Calibri"/>
        <family val="2"/>
        <charset val="186"/>
        <scheme val="minor"/>
      </rPr>
      <t>t: one mast, a passive detection and tracking system (IR camera system), a passive detection and tracking system (camera system), a combination of a static near-IR system and neuromorphic cameras, a radio frequency detection, an active detection (radar), a Radio Signal Jamming and a Hard-Kill solution in connection with Specific Action BMVI/20204/SA/1.1.5/001 will be purchased. In connection of Specific Action on Migration Pact</t>
    </r>
    <r>
      <rPr>
        <b/>
        <sz val="11"/>
        <color theme="1"/>
        <rFont val="Calibri"/>
        <family val="2"/>
        <charset val="186"/>
        <scheme val="minor"/>
      </rPr>
      <t xml:space="preserve"> 70 additional border control equipment</t>
    </r>
    <r>
      <rPr>
        <sz val="11"/>
        <color theme="1"/>
        <rFont val="Calibri"/>
        <family val="2"/>
        <charset val="186"/>
        <scheme val="minor"/>
      </rPr>
      <t xml:space="preserve"> and</t>
    </r>
    <r>
      <rPr>
        <b/>
        <sz val="11"/>
        <color theme="1"/>
        <rFont val="Calibri"/>
        <family val="2"/>
        <charset val="186"/>
        <scheme val="minor"/>
      </rPr>
      <t xml:space="preserve"> 89 translation device</t>
    </r>
    <r>
      <rPr>
        <sz val="11"/>
        <color theme="1"/>
        <rFont val="Calibri"/>
        <family val="2"/>
        <charset val="186"/>
        <scheme val="minor"/>
      </rPr>
      <t>s will be procured.</t>
    </r>
  </si>
  <si>
    <t>During the programming phase (2020-2021), it was planned to procure 16 gates, however by the time, the BMVI programme was approved, 18 gates were needed. The annual cost for 1 gate was initially 15,000 €. New procurement will be launched in 2025. As more advanced gates will be purchased and prices have increased, additional 3 million (MTR funds) will be allocated for the years 2026-2029.</t>
  </si>
  <si>
    <t>süsteemi raporteeritakse vaid ühe korra kogu perioodi vältel, olgugi, et mitu projekti panustab süsteemi arendamisse. Kõik süsteemid pidid valmis olema 2024, aga ei olnud.</t>
  </si>
  <si>
    <r>
      <t xml:space="preserve">BMVI support was planned to be used for renovation of Luhamma Border Station. At the end the construction works ere funfed from the sstate budget nad BMVI was used for preparation of construction works in </t>
    </r>
    <r>
      <rPr>
        <b/>
        <sz val="11"/>
        <color theme="1"/>
        <rFont val="Calibri"/>
        <family val="2"/>
        <charset val="186"/>
        <scheme val="minor"/>
      </rPr>
      <t>Võmmorski border section</t>
    </r>
    <r>
      <rPr>
        <sz val="11"/>
        <color theme="1"/>
        <rFont val="Calibri"/>
        <family val="2"/>
        <charset val="186"/>
        <scheme val="minor"/>
      </rPr>
      <t xml:space="preserve"> and </t>
    </r>
    <r>
      <rPr>
        <b/>
        <sz val="11"/>
        <color theme="1"/>
        <rFont val="Calibri"/>
        <family val="2"/>
        <charset val="186"/>
        <scheme val="minor"/>
      </rPr>
      <t>Luhamaa border station</t>
    </r>
    <r>
      <rPr>
        <sz val="11"/>
        <color theme="1"/>
        <rFont val="Calibri"/>
        <family val="2"/>
        <charset val="186"/>
        <scheme val="minor"/>
      </rPr>
      <t>, i.e the design of construction projects and supervision that the coonstruction project has been followed.</t>
    </r>
  </si>
  <si>
    <r>
      <t>State personnel and budgetary information is processed in IT system SAP. The target has been set based on the SAP statistics of trained officials whose tasks were related to border control and migration surveillance within 2014-2020. 2014 - 339 persons trained, 2015 296 persons trained, 2016 348 persons trained, 2017 270 persons trained, 2018 287 persons trained, 2019 450 persons traned, 2020 427 persons trained. Total 2417 trained persons/ 7 years=</t>
    </r>
    <r>
      <rPr>
        <b/>
        <sz val="11"/>
        <color theme="1"/>
        <rFont val="Calibri"/>
        <family val="2"/>
        <charset val="186"/>
        <scheme val="minor"/>
      </rPr>
      <t>annual average of trained officals is 345</t>
    </r>
    <r>
      <rPr>
        <sz val="11"/>
        <color theme="1"/>
        <rFont val="Calibri"/>
        <family val="2"/>
        <charset val="186"/>
        <scheme val="minor"/>
      </rPr>
      <t xml:space="preserve">. The prognosis of trained officials has been made based on precondition that the structure of the PBGB will remain the same. One long training project has been planned for the years 2022-2029.  Each person is counted only once within the project. Training costs differ by subject. In total 700,000 € has been planned for regular trainings (such as language corses, human rights, document control, etc); 400,000€ has been planned for national experts'  training joining the EBCG. </t>
    </r>
    <r>
      <rPr>
        <b/>
        <sz val="11"/>
        <color theme="1"/>
        <rFont val="Calibri"/>
        <family val="2"/>
        <charset val="186"/>
        <scheme val="minor"/>
      </rPr>
      <t>50 additional custom officers</t>
    </r>
    <r>
      <rPr>
        <sz val="11"/>
        <color theme="1"/>
        <rFont val="Calibri"/>
        <family val="2"/>
        <charset val="186"/>
        <scheme val="minor"/>
      </rPr>
      <t xml:space="preserve"> will be trained to  carried out I-level border checks. In 2025</t>
    </r>
    <r>
      <rPr>
        <b/>
        <sz val="11"/>
        <color theme="1"/>
        <rFont val="Calibri"/>
        <family val="2"/>
        <charset val="186"/>
        <scheme val="minor"/>
      </rPr>
      <t xml:space="preserve"> one liason officer</t>
    </r>
    <r>
      <rPr>
        <sz val="11"/>
        <color theme="1"/>
        <rFont val="Calibri"/>
        <family val="2"/>
        <charset val="186"/>
        <scheme val="minor"/>
      </rPr>
      <t xml:space="preserve"> was seconded to the Frontex for 2 years. The annual liason secondment costs are ca 140,000€ (salary + accommodation). In total 400,000€ has been budgeted for the secondment. Operating support will cover</t>
    </r>
    <r>
      <rPr>
        <b/>
        <sz val="11"/>
        <color theme="1"/>
        <rFont val="Calibri"/>
        <family val="2"/>
        <charset val="186"/>
        <scheme val="minor"/>
      </rPr>
      <t xml:space="preserve"> 4 technicians</t>
    </r>
    <r>
      <rPr>
        <sz val="11"/>
        <color theme="1"/>
        <rFont val="Calibri"/>
        <family val="2"/>
        <charset val="186"/>
        <scheme val="minor"/>
      </rPr>
      <t xml:space="preserve">'s salary 2023-2029. Technicians are responsible for keeping the surveillance system operating and fix any possible errors. </t>
    </r>
    <r>
      <rPr>
        <b/>
        <sz val="11"/>
        <color theme="1"/>
        <rFont val="Calibri"/>
        <family val="2"/>
        <charset val="186"/>
        <scheme val="minor"/>
      </rPr>
      <t>6 officals</t>
    </r>
    <r>
      <rPr>
        <sz val="11"/>
        <color theme="1"/>
        <rFont val="Calibri"/>
        <family val="2"/>
        <charset val="186"/>
        <scheme val="minor"/>
      </rPr>
      <t xml:space="preserve"> will participate in the Specific Action BMVI/2021-2022/SA/1.2.1/003. The training in framework of </t>
    </r>
    <r>
      <rPr>
        <b/>
        <sz val="11"/>
        <color theme="1"/>
        <rFont val="Calibri"/>
        <family val="2"/>
        <charset val="186"/>
        <scheme val="minor"/>
      </rPr>
      <t xml:space="preserve">IO specific action </t>
    </r>
    <r>
      <rPr>
        <sz val="11"/>
        <color theme="1"/>
        <rFont val="Calibri"/>
        <family val="2"/>
        <charset val="186"/>
        <scheme val="minor"/>
      </rPr>
      <t xml:space="preserve">will be carried out for </t>
    </r>
    <r>
      <rPr>
        <b/>
        <sz val="11"/>
        <color theme="1"/>
        <rFont val="Calibri"/>
        <family val="2"/>
        <charset val="186"/>
        <scheme val="minor"/>
      </rPr>
      <t>140 official</t>
    </r>
    <r>
      <rPr>
        <sz val="11"/>
        <color theme="1"/>
        <rFont val="Calibri"/>
        <family val="2"/>
        <charset val="186"/>
        <scheme val="minor"/>
      </rPr>
      <t xml:space="preserve">s. In the course of Specific Actions BMVI.1.01.24-0027 and BMVI.1.01.24-0028 </t>
    </r>
    <r>
      <rPr>
        <b/>
        <sz val="11"/>
        <color theme="1"/>
        <rFont val="Calibri"/>
        <family val="2"/>
        <charset val="186"/>
        <scheme val="minor"/>
      </rPr>
      <t>100 official</t>
    </r>
    <r>
      <rPr>
        <sz val="11"/>
        <color theme="1"/>
        <rFont val="Calibri"/>
        <family val="2"/>
        <charset val="186"/>
        <scheme val="minor"/>
      </rPr>
      <t>s are trained and in Specific Action BMVI/2024/SA/1.1.5/001 -</t>
    </r>
    <r>
      <rPr>
        <b/>
        <sz val="11"/>
        <color theme="1"/>
        <rFont val="Calibri"/>
        <family val="2"/>
        <charset val="186"/>
        <scheme val="minor"/>
      </rPr>
      <t xml:space="preserve"> 6</t>
    </r>
    <r>
      <rPr>
        <sz val="11"/>
        <color theme="1"/>
        <rFont val="Calibri"/>
        <family val="2"/>
        <charset val="186"/>
        <scheme val="minor"/>
      </rPr>
      <t xml:space="preserve"> </t>
    </r>
    <r>
      <rPr>
        <b/>
        <sz val="11"/>
        <color theme="1"/>
        <rFont val="Calibri"/>
        <family val="2"/>
        <charset val="186"/>
        <scheme val="minor"/>
      </rPr>
      <t>official</t>
    </r>
    <r>
      <rPr>
        <sz val="11"/>
        <color theme="1"/>
        <rFont val="Calibri"/>
        <family val="2"/>
        <charset val="186"/>
        <scheme val="minor"/>
      </rPr>
      <t xml:space="preserve">s trained. To establish screening cpapacity, </t>
    </r>
    <r>
      <rPr>
        <b/>
        <sz val="11"/>
        <color theme="1"/>
        <rFont val="Calibri"/>
        <family val="2"/>
        <charset val="186"/>
        <scheme val="minor"/>
      </rPr>
      <t xml:space="preserve">10 officers </t>
    </r>
    <r>
      <rPr>
        <sz val="11"/>
        <color theme="1"/>
        <rFont val="Calibri"/>
        <family val="2"/>
        <charset val="186"/>
        <scheme val="minor"/>
      </rPr>
      <t>will be hired in the multipurpose center which will be remodeled for screening acitivities and if need be, border procedures.</t>
    </r>
  </si>
  <si>
    <r>
      <t xml:space="preserve">State personnel and budgetary information is processed in IT system SAP. The target has been set based on the SAP statistics of trained officials whose tasks were related to border control and migration surveillance within 2014-2020. 2014 - 339 persons trained, 2015 296 persons trained, 2016 348 persons trained, 2017 270 persons trained, 2018 287 persons trained, 2019 450 persons traned, 2020 427 persons trained. Total 2417 trained persons/ 7 years=annual </t>
    </r>
    <r>
      <rPr>
        <b/>
        <sz val="11"/>
        <color theme="1"/>
        <rFont val="Calibri"/>
        <family val="2"/>
        <charset val="186"/>
        <scheme val="minor"/>
      </rPr>
      <t>average of trained officals is 34</t>
    </r>
    <r>
      <rPr>
        <sz val="11"/>
        <color theme="1"/>
        <rFont val="Calibri"/>
        <family val="2"/>
        <charset val="186"/>
        <scheme val="minor"/>
      </rPr>
      <t xml:space="preserve">5. The prognosis of trained officials has been made based on precondition that the structure of the PBGB will remain the same. One long training project has been planned for the years 2022-2029.  Each person is counted only once within the project. Training costs differ by subject. In total 700,000 € has been planned for regular trainings (such as language corses, human rights, docuent control, etc); </t>
    </r>
    <r>
      <rPr>
        <b/>
        <sz val="11"/>
        <color theme="1"/>
        <rFont val="Calibri"/>
        <family val="2"/>
        <charset val="186"/>
        <scheme val="minor"/>
      </rPr>
      <t xml:space="preserve"> 50 additional custom officers</t>
    </r>
    <r>
      <rPr>
        <sz val="11"/>
        <color theme="1"/>
        <rFont val="Calibri"/>
        <family val="2"/>
        <charset val="186"/>
        <scheme val="minor"/>
      </rPr>
      <t xml:space="preserve"> will be trained to  carried out I-level border checks. 400,000€ has been planned for national experts'  training joining the EBCG.</t>
    </r>
    <r>
      <rPr>
        <b/>
        <sz val="11"/>
        <color theme="1"/>
        <rFont val="Calibri"/>
        <family val="2"/>
        <charset val="186"/>
        <scheme val="minor"/>
      </rPr>
      <t xml:space="preserve"> 4 technicians</t>
    </r>
    <r>
      <rPr>
        <sz val="11"/>
        <color theme="1"/>
        <rFont val="Calibri"/>
        <family val="2"/>
        <charset val="186"/>
        <scheme val="minor"/>
      </rPr>
      <t xml:space="preserve"> will be also trained. In the course of Specific Actions following number of officials will be trained: BMVI/2021-2022/SA/1.2.1/003 </t>
    </r>
    <r>
      <rPr>
        <b/>
        <sz val="11"/>
        <color theme="1"/>
        <rFont val="Calibri"/>
        <family val="2"/>
        <charset val="186"/>
        <scheme val="minor"/>
      </rPr>
      <t xml:space="preserve">4 officials, </t>
    </r>
    <r>
      <rPr>
        <sz val="11"/>
        <color theme="1"/>
        <rFont val="Calibri"/>
        <family val="2"/>
        <charset val="186"/>
        <scheme val="minor"/>
      </rPr>
      <t xml:space="preserve"> BMVI.1.01.24-0027</t>
    </r>
    <r>
      <rPr>
        <b/>
        <sz val="11"/>
        <color theme="1"/>
        <rFont val="Calibri"/>
        <family val="2"/>
        <charset val="186"/>
        <scheme val="minor"/>
      </rPr>
      <t xml:space="preserve"> 50</t>
    </r>
    <r>
      <rPr>
        <sz val="11"/>
        <color theme="1"/>
        <rFont val="Calibri"/>
        <family val="2"/>
        <charset val="186"/>
        <scheme val="minor"/>
      </rPr>
      <t xml:space="preserve"> , and BMVI.1.01.24-0028</t>
    </r>
    <r>
      <rPr>
        <b/>
        <sz val="11"/>
        <color theme="1"/>
        <rFont val="Calibri"/>
        <family val="2"/>
        <charset val="186"/>
        <scheme val="minor"/>
      </rPr>
      <t xml:space="preserve"> 50</t>
    </r>
    <r>
      <rPr>
        <sz val="11"/>
        <color theme="1"/>
        <rFont val="Calibri"/>
        <family val="2"/>
        <charset val="186"/>
        <scheme val="minor"/>
      </rPr>
      <t>,</t>
    </r>
    <r>
      <rPr>
        <b/>
        <sz val="11"/>
        <color theme="1"/>
        <rFont val="Calibri"/>
        <family val="2"/>
        <charset val="186"/>
        <scheme val="minor"/>
      </rPr>
      <t xml:space="preserve"> </t>
    </r>
    <r>
      <rPr>
        <sz val="11"/>
        <color theme="1"/>
        <rFont val="Calibri"/>
        <family val="2"/>
        <charset val="186"/>
        <scheme val="minor"/>
      </rPr>
      <t xml:space="preserve"> BMVI/2024/SA/1.1.5/001 -</t>
    </r>
    <r>
      <rPr>
        <b/>
        <sz val="11"/>
        <color theme="1"/>
        <rFont val="Calibri"/>
        <family val="2"/>
        <scheme val="minor"/>
      </rPr>
      <t xml:space="preserve"> 6, </t>
    </r>
    <r>
      <rPr>
        <sz val="11"/>
        <color theme="1"/>
        <rFont val="Calibri"/>
        <family val="2"/>
        <charset val="186"/>
        <scheme val="minor"/>
      </rPr>
      <t xml:space="preserve">BMVI/2021/SA/1.5.4/008 </t>
    </r>
    <r>
      <rPr>
        <b/>
        <sz val="11"/>
        <color theme="1"/>
        <rFont val="Calibri"/>
        <family val="2"/>
        <charset val="186"/>
        <scheme val="minor"/>
      </rPr>
      <t>140</t>
    </r>
    <r>
      <rPr>
        <sz val="11"/>
        <color theme="1"/>
        <rFont val="Calibri"/>
        <family val="2"/>
        <charset val="186"/>
        <scheme val="minor"/>
      </rPr>
      <t>.</t>
    </r>
  </si>
  <si>
    <t>Two projects regarding VIS will be implemented to enhance electronic visa processing. In planning phase also a project to purchase fingerprint scanners was to be implemented, but there is no need for it any longer.</t>
  </si>
  <si>
    <t>Associated result indicator: Number of participants who report three months after the training activity that they are using the skills and competences acquired during the training. Costs for a new project for operating support included underthis indicator.</t>
  </si>
  <si>
    <t xml:space="preserve">Associated result indicators : Number of visa applications using digital means
Number of new/upgraded consulates outside the Schengen area of which number of consulates upgraded to enhance client-friendliness for Visa applicants. Cost include also O.2.4.
</t>
  </si>
  <si>
    <t>Inludes costs for training and co-operation activities.</t>
  </si>
  <si>
    <t>Each participant is reported only once within the project. Participant is reported in the report that follows the first entrance to the project.</t>
  </si>
  <si>
    <r>
      <t xml:space="preserve">Project iterim and final reports. Projects No </t>
    </r>
    <r>
      <rPr>
        <b/>
        <sz val="11"/>
        <color theme="1"/>
        <rFont val="Calibri"/>
        <family val="2"/>
        <charset val="186"/>
        <scheme val="minor"/>
      </rPr>
      <t>BMVI.1.02.23-0004</t>
    </r>
    <r>
      <rPr>
        <sz val="11"/>
        <color theme="1"/>
        <rFont val="Calibri"/>
        <family val="2"/>
        <charset val="186"/>
        <scheme val="minor"/>
      </rPr>
      <t xml:space="preserve"> and </t>
    </r>
    <r>
      <rPr>
        <b/>
        <sz val="11"/>
        <color theme="1"/>
        <rFont val="Calibri"/>
        <family val="2"/>
        <charset val="186"/>
        <scheme val="minor"/>
      </rPr>
      <t>BMVI.1.02.23-0005</t>
    </r>
    <r>
      <rPr>
        <sz val="11"/>
        <color theme="1"/>
        <rFont val="Calibri"/>
        <family val="2"/>
        <charset val="186"/>
        <scheme val="minor"/>
      </rPr>
      <t xml:space="preserve"> contribute to this indicator.</t>
    </r>
  </si>
  <si>
    <t>Costs are coverd by O.2.3</t>
  </si>
  <si>
    <t xml:space="preserve">Costs are covered by O.2.1 and O.2.3. Member States should report (under comments in table 6B Annex VII CPR) the total number of Schengen recommendations, issued in the field of the common visa policy, which have financial implications. This is a cumulative number, which should be updated every time when Member State receives recommendations with financial implications. 
Regarding the Schengen recommendations: After assessing submitted follow-up report, the Commission informs Member State on the agreement to close the recommendation. Member States will automatically be notified when a recommendation is closed in KOEL. Estonia wil use mostly national budget to tackle future reccommendations.
</t>
  </si>
  <si>
    <t>To enhance border checks and surveillance at the EU’s external border, support the prevention and detection of cross-border crime, facilitate legitimate border crossings, and manage migratory flows effectively, new larg-scale IT-systems-such as SIS, EES, ETIAS and their interperability—need to be developed and depolyed. SInce activities regarding the SIS, EES and ETIAS sarted already in 2014-20 period, only IO will be considere as newly developed IT-system.</t>
  </si>
  <si>
    <r>
      <rPr>
        <b/>
        <sz val="11"/>
        <color theme="1"/>
        <rFont val="Calibri"/>
        <family val="2"/>
        <charset val="186"/>
        <scheme val="minor"/>
      </rPr>
      <t>IO</t>
    </r>
    <r>
      <rPr>
        <sz val="11"/>
        <color theme="1"/>
        <rFont val="Calibri"/>
        <family val="2"/>
        <charset val="186"/>
        <scheme val="minor"/>
      </rPr>
      <t xml:space="preserve"> Regulations. Costs for the developments have been estimated based on calcualtions made by the The IT and Development Centre of the Ministry of the Interior.</t>
    </r>
  </si>
  <si>
    <r>
      <t xml:space="preserve">Project interim and final reports. Projects No </t>
    </r>
    <r>
      <rPr>
        <b/>
        <sz val="11"/>
        <color theme="1"/>
        <rFont val="Calibri"/>
        <family val="2"/>
        <charset val="186"/>
        <scheme val="minor"/>
      </rPr>
      <t xml:space="preserve">BMVI.1.01.23-0021 and BMVI.1.01.23-0017 </t>
    </r>
    <r>
      <rPr>
        <sz val="11"/>
        <color theme="1"/>
        <rFont val="Calibri"/>
        <family val="2"/>
        <charset val="186"/>
        <scheme val="minor"/>
      </rPr>
      <t>will contribute to this indicator.</t>
    </r>
  </si>
  <si>
    <t>a) 1,  b) 1, c) 1, d) 0, e) 0</t>
  </si>
  <si>
    <t>a) 1</t>
  </si>
  <si>
    <t>a) Välja töötatud/hooldatud/ajakohastatud suuremahuliste IT-süsteemide arv</t>
  </si>
  <si>
    <t>a) Välja töötatud/hooldatud/ajakohastatud IT-funktsioonide arv, b) Välja töötatud/hooldatud/ajakohastatud suuremahuliste IT-süsteemide arv, c) Toetatud osalejate arv, d) millest omakorda koolitustegevuses osalejate arv, e) Hooldatud/parandatud taristuosade arv.</t>
  </si>
  <si>
    <t>a) 5, b) 2, c) 50, d) 50, e) 6</t>
  </si>
  <si>
    <t>a) Välja töötatud/hooldatud/ajakohastatud IT-funktsioonide arv, b) Välja töötatud/hooldatud/ajakohastatud suuremahuliste IT-süsteemide arv, c) Toetatud osalejate arv, d) millest omakorda koolitustegevuses osalejate arv</t>
  </si>
  <si>
    <t>a) 1, b) 1, c) 50, d) 50</t>
  </si>
  <si>
    <t>102 soovitusest viiakse 8 ellu BMVI abil (56, 60, 65, 67, 69, 71, 84, 100)</t>
  </si>
  <si>
    <r>
      <t xml:space="preserve">Annually. Projects No </t>
    </r>
    <r>
      <rPr>
        <b/>
        <sz val="11"/>
        <color theme="1"/>
        <rFont val="Calibri"/>
        <family val="2"/>
        <charset val="186"/>
        <scheme val="minor"/>
      </rPr>
      <t>BMVI.1.01.23-0006, BMVI.1.01.23-0005, BMVI.1.01.23-0010, BMVI.1.01.23-0020, BMVI.1.01.24-0030, BMVI.1.01.25-0031 and the new project for the equipment for the border sections 9-11</t>
    </r>
    <r>
      <rPr>
        <sz val="11"/>
        <color theme="1"/>
        <rFont val="Calibri"/>
        <family val="2"/>
        <charset val="186"/>
        <scheme val="minor"/>
      </rPr>
      <t xml:space="preserve"> will contribute to this indicator.</t>
    </r>
  </si>
  <si>
    <t>BMVI allocation will be used to contribute to the fulfillment of Shceval Recommendations No  56, 60, 65, 67, 69, 71, 84, 100. There is not enough funds to cover all recommendations that have financial impact.</t>
  </si>
  <si>
    <t>11 soovitust täidetakse BMVI toel (18, 19, 21, 22, 27, 28, 30, 79, 80, 86, 87)</t>
  </si>
  <si>
    <t>BMVI allocation will be used to contribute to the fulfillment of Shceval Recommendations No 18, 19, 21, 22, 27, 28, 30, 79, 80, 86 and 87. There is not enough funds to cover all recommendations that have financial impact.</t>
  </si>
  <si>
    <t>Erimeede-Rändepakt: Taustakontrolli võimekuse loomine ja teenuse pakkumine</t>
  </si>
  <si>
    <t>Erimeede-Rändepakt:Infovahetuse tõhustamine taustakontrollis ja piirimenetluses</t>
  </si>
  <si>
    <t>Erimeede-Rändepakt: Tõlkevõimekuse arendamine</t>
  </si>
  <si>
    <t>1.12. Erimeede 9: Rändepakti rakendamine</t>
  </si>
  <si>
    <t>a) Välja töötatud/hooldatud/ajakohastatud IT-funktsioonide arv, b) piiripunkti jaoks ostetud seadmete arv</t>
  </si>
  <si>
    <t>Pact Specific Action</t>
  </si>
  <si>
    <t>a) 1, b)1, c) 1, d) 0</t>
  </si>
  <si>
    <t>1.11 Toetuslepingu maht</t>
  </si>
  <si>
    <t>a) piirikontrolli tugevdamine kooskõlas määruse (EL) 2019/1896 artikli 3 lõike 1 punktiga a:
i) suurendades suutlikkust teha välispiiridel kontrolle ja seiret, sealhulgas tugevdades meetmeid seadusliku piiriületuse lihtsustamiseks ja, kui see on asjakohane, meetmeid,
 - mis on seotud piiriülese kuritegevuse, eelkõige rändajate ebaseadusliku üle piiri toimetamise, inimkaubanduse ja terrorismi ennetamise ja avastamisega välispiiridel
 - mis on seotud pidevalt kõrge rändetaseme haldamisega välispiiridel, sealhulgas tehnilise ja operatiivtoe kaudu, ning mehhanisme ja menetlusi haavatavate isikute ja saatjata alaealiste tuvastamiseks ning rahvusvahelist kaitset vajavate või seda taotleda soovivate isikute tuvastamiseks, samuti suutlikkust anda sellistele isikutele teavet ja neid edasi suunata.</t>
  </si>
  <si>
    <r>
      <t xml:space="preserve">a) Hooldatud/parandatud taristuosade arv, b) Toetatud osalejate arv, c) </t>
    </r>
    <r>
      <rPr>
        <i/>
        <sz val="12"/>
        <rFont val="Calibri"/>
        <family val="2"/>
        <charset val="186"/>
        <scheme val="minor"/>
      </rPr>
      <t>uute majutuskohtade arv, d) toetatud kolmanda riigi kodanike arv</t>
    </r>
  </si>
  <si>
    <t xml:space="preserve">a) Viisade menetlemise digitaliseerimist toetavate projektide arv, b) Välja töötatud/hooldatud/ajakohastatud suuremahuliste IT-süsteemide arv, c) millest omakorda
välja töötatud suuremahuliste IT-süsteemide arv, d) IT-funktsionaalsuste arv </t>
  </si>
  <si>
    <t>a) 1, b)1, c) 1, d) 4</t>
  </si>
  <si>
    <t>a) Automaatse piirikontrolli süsteemide ja e-väravate kaudu toimunud piiriületuste arv, b)  Piirihalduse valdkonnas läbi viidud Schengeni hindamiste ja haavatavuse hindamiste tulemusel esitatud soovituste arv, mida on arvesse võetud.</t>
  </si>
  <si>
    <t>a) 2200000, b) 2</t>
  </si>
  <si>
    <t xml:space="preserve">a) Välja töötatud/hooldatud/ajakohastatud suuremahuliste IT-süsteemide arv, b) välja töötatud/hooldatud/ajakohastatud IT-funktsioonide arv
</t>
  </si>
  <si>
    <t>a) 1, b) 0</t>
  </si>
  <si>
    <t>a) 1, b) 6</t>
  </si>
  <si>
    <t xml:space="preserve">a) Välja töötatud/hooldatud/ajakohastatud suuremahuliste IT-süsteemide arv,  b) millest omakorda
 välja töötatud suuremahuliste IT-süsteemide arv 
</t>
  </si>
  <si>
    <t xml:space="preserve">a) Välja töötatud/hooldatud/ajakohastatud suuremahuliste IT-süsteemide arv </t>
  </si>
  <si>
    <t>a) 2</t>
  </si>
  <si>
    <t>VÕMMORSKI JA MAADE VAHETAMISEGA SEOTUD PIIRILÕIKUDE PROJEKTEERIMINE JA EKSPERTIIS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</si>
</sst>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41" formatCode="_-* #,##0_-;\-* #,##0_-;_-* &quot;-&quot;_-;_-@_-"/>
    <numFmt numFmtId="164" formatCode="0.0"/>
    <numFmt numFmtId="165" formatCode="0_ ;\-0\ "/>
    <numFmt numFmtId="166" formatCode="#,##0.000\ &quot;€&quot;;[Red]\-#,##0.000\ &quot;€&quot;"/>
  </numFmts>
  <fonts count="47" x14ac:knownFonts="1">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sz val="12"/>
      <color rgb="FF0070C0"/>
      <name val="Calibri"/>
      <family val="2"/>
      <charset val="186"/>
      <scheme val="minor"/>
    </font>
    <font>
      <b/>
      <sz val="12"/>
      <name val="Calibri"/>
      <family val="2"/>
      <charset val="186"/>
      <scheme val="minor"/>
    </font>
    <font>
      <sz val="12"/>
      <name val="Calibri"/>
      <family val="2"/>
      <charset val="186"/>
      <scheme val="minor"/>
    </font>
    <font>
      <sz val="11"/>
      <color theme="1"/>
      <name val="Calibri"/>
      <family val="2"/>
      <charset val="186"/>
      <scheme val="minor"/>
    </font>
    <font>
      <sz val="12"/>
      <color rgb="FF0070C0"/>
      <name val="Times New Roman"/>
      <family val="1"/>
      <charset val="186"/>
    </font>
    <font>
      <b/>
      <sz val="12"/>
      <color theme="9" tint="-0.499984740745262"/>
      <name val="Calibri"/>
      <family val="2"/>
      <charset val="186"/>
      <scheme val="minor"/>
    </font>
    <font>
      <b/>
      <sz val="16"/>
      <color rgb="FFFF0000"/>
      <name val="Calibri"/>
      <family val="2"/>
      <charset val="186"/>
      <scheme val="minor"/>
    </font>
    <font>
      <b/>
      <sz val="12"/>
      <name val="Times New Roman"/>
      <family val="1"/>
      <charset val="186"/>
    </font>
    <font>
      <b/>
      <sz val="14"/>
      <color theme="1"/>
      <name val="Calibri"/>
      <family val="2"/>
      <charset val="186"/>
      <scheme val="minor"/>
    </font>
    <font>
      <b/>
      <sz val="14"/>
      <color theme="9" tint="-0.499984740745262"/>
      <name val="Calibri"/>
      <family val="2"/>
      <charset val="186"/>
      <scheme val="minor"/>
    </font>
    <font>
      <b/>
      <sz val="16"/>
      <color theme="1"/>
      <name val="Calibri"/>
      <family val="2"/>
      <charset val="186"/>
      <scheme val="minor"/>
    </font>
    <font>
      <b/>
      <sz val="14"/>
      <name val="Calibri"/>
      <family val="2"/>
      <charset val="186"/>
      <scheme val="minor"/>
    </font>
    <font>
      <b/>
      <sz val="12"/>
      <color rgb="FFFF0000"/>
      <name val="Calibri"/>
      <family val="2"/>
      <charset val="186"/>
      <scheme val="minor"/>
    </font>
    <font>
      <b/>
      <sz val="18"/>
      <color theme="1"/>
      <name val="Calibri"/>
      <family val="2"/>
      <charset val="186"/>
      <scheme val="minor"/>
    </font>
    <font>
      <b/>
      <sz val="18"/>
      <name val="Calibri"/>
      <family val="2"/>
      <charset val="186"/>
      <scheme val="minor"/>
    </font>
    <font>
      <b/>
      <sz val="14"/>
      <name val="Times New Roman"/>
      <family val="1"/>
      <charset val="186"/>
    </font>
    <font>
      <sz val="11"/>
      <color rgb="FFFF0000"/>
      <name val="Calibri"/>
      <family val="2"/>
      <charset val="186"/>
      <scheme val="minor"/>
    </font>
    <font>
      <b/>
      <sz val="11"/>
      <color theme="1"/>
      <name val="Calibri"/>
      <family val="2"/>
      <charset val="186"/>
      <scheme val="minor"/>
    </font>
    <font>
      <b/>
      <sz val="8"/>
      <color theme="1"/>
      <name val="Times New Roman"/>
      <family val="1"/>
      <charset val="186"/>
    </font>
    <font>
      <sz val="10"/>
      <color theme="1"/>
      <name val="Times New Roman"/>
      <family val="1"/>
      <charset val="186"/>
    </font>
    <font>
      <sz val="8"/>
      <color theme="1"/>
      <name val="Calibri"/>
      <family val="2"/>
      <charset val="186"/>
      <scheme val="minor"/>
    </font>
    <font>
      <sz val="12"/>
      <color theme="1"/>
      <name val="Times New Roman"/>
      <family val="1"/>
      <charset val="186"/>
    </font>
    <font>
      <sz val="9"/>
      <color theme="1"/>
      <name val="Times New Roman"/>
      <family val="1"/>
      <charset val="186"/>
    </font>
    <font>
      <b/>
      <sz val="10"/>
      <color theme="1"/>
      <name val="Times New Roman"/>
      <family val="1"/>
      <charset val="186"/>
    </font>
    <font>
      <sz val="8"/>
      <name val="Calibri"/>
      <family val="2"/>
      <charset val="186"/>
      <scheme val="minor"/>
    </font>
    <font>
      <sz val="12"/>
      <color theme="1"/>
      <name val="Calibri"/>
      <family val="2"/>
      <scheme val="minor"/>
    </font>
    <font>
      <b/>
      <sz val="11"/>
      <color theme="1"/>
      <name val="Calibri"/>
      <family val="2"/>
      <scheme val="minor"/>
    </font>
    <font>
      <sz val="11"/>
      <name val="Calibri"/>
      <family val="2"/>
      <charset val="186"/>
      <scheme val="minor"/>
    </font>
    <font>
      <i/>
      <sz val="11"/>
      <color theme="1"/>
      <name val="Calibri"/>
      <family val="2"/>
      <charset val="186"/>
      <scheme val="minor"/>
    </font>
    <font>
      <b/>
      <i/>
      <sz val="11"/>
      <color rgb="FFFF0000"/>
      <name val="Calibri"/>
      <family val="2"/>
      <charset val="186"/>
      <scheme val="minor"/>
    </font>
    <font>
      <i/>
      <sz val="11"/>
      <color rgb="FFFF0000"/>
      <name val="Calibri"/>
      <family val="2"/>
      <charset val="186"/>
      <scheme val="minor"/>
    </font>
    <font>
      <i/>
      <sz val="12"/>
      <color theme="1"/>
      <name val="Calibri"/>
      <family val="2"/>
      <charset val="186"/>
      <scheme val="minor"/>
    </font>
    <font>
      <i/>
      <sz val="11"/>
      <color theme="1"/>
      <name val="Calibri"/>
      <family val="2"/>
      <scheme val="minor"/>
    </font>
    <font>
      <b/>
      <sz val="10"/>
      <color rgb="FFFF0000"/>
      <name val="Times New Roman"/>
      <family val="1"/>
      <charset val="186"/>
    </font>
    <font>
      <sz val="10"/>
      <color theme="1"/>
      <name val="Calibri"/>
      <family val="2"/>
      <charset val="186"/>
      <scheme val="minor"/>
    </font>
    <font>
      <sz val="12"/>
      <color theme="8"/>
      <name val="Calibri"/>
      <family val="2"/>
      <charset val="186"/>
      <scheme val="minor"/>
    </font>
    <font>
      <sz val="10"/>
      <color theme="8"/>
      <name val="Arial"/>
      <family val="2"/>
      <charset val="186"/>
    </font>
    <font>
      <i/>
      <sz val="12"/>
      <color theme="8"/>
      <name val="Calibri"/>
      <family val="2"/>
      <charset val="186"/>
      <scheme val="minor"/>
    </font>
    <font>
      <sz val="12"/>
      <color theme="8"/>
      <name val="Times New Roman"/>
      <family val="1"/>
      <charset val="186"/>
    </font>
    <font>
      <u/>
      <sz val="11"/>
      <color theme="10"/>
      <name val="Calibri"/>
      <family val="2"/>
      <charset val="186"/>
      <scheme val="minor"/>
    </font>
    <font>
      <b/>
      <sz val="11"/>
      <color theme="8" tint="-0.249977111117893"/>
      <name val="Calibri"/>
      <family val="2"/>
      <charset val="186"/>
      <scheme val="minor"/>
    </font>
    <font>
      <sz val="11"/>
      <color theme="8" tint="-0.249977111117893"/>
      <name val="Calibri"/>
      <family val="2"/>
      <charset val="186"/>
      <scheme val="minor"/>
    </font>
    <font>
      <i/>
      <sz val="11"/>
      <color theme="8" tint="-0.249977111117893"/>
      <name val="Calibri"/>
      <family val="2"/>
      <charset val="186"/>
      <scheme val="minor"/>
    </font>
    <font>
      <i/>
      <sz val="12"/>
      <name val="Calibri"/>
      <family val="2"/>
      <charset val="186"/>
      <scheme val="minor"/>
    </font>
  </fonts>
  <fills count="15">
    <fill>
      <patternFill patternType="none"/>
    </fill>
    <fill>
      <patternFill patternType="gray125"/>
    </fill>
    <fill>
      <patternFill patternType="solid">
        <fgColor theme="4" tint="0.79998168889431442"/>
        <bgColor indexed="64"/>
      </patternFill>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xf numFmtId="9" fontId="6" fillId="0" borderId="0" applyFont="0" applyFill="0" applyBorder="0" applyAlignment="0" applyProtection="0"/>
    <xf numFmtId="41" fontId="6" fillId="0" borderId="0" applyFont="0" applyFill="0" applyBorder="0" applyAlignment="0" applyProtection="0"/>
    <xf numFmtId="0" fontId="42" fillId="0" borderId="0" applyNumberFormat="0" applyFill="0" applyBorder="0" applyAlignment="0" applyProtection="0"/>
  </cellStyleXfs>
  <cellXfs count="397">
    <xf numFmtId="0" fontId="0" fillId="0" borderId="0" xfId="0"/>
    <xf numFmtId="0" fontId="2" fillId="3" borderId="1" xfId="0" applyFont="1" applyFill="1" applyBorder="1"/>
    <xf numFmtId="0" fontId="2" fillId="3" borderId="1" xfId="0" applyFont="1" applyFill="1" applyBorder="1" applyAlignment="1">
      <alignment wrapText="1"/>
    </xf>
    <xf numFmtId="0" fontId="3" fillId="0" borderId="1" xfId="0" applyFont="1" applyBorder="1" applyAlignment="1">
      <alignment vertical="center" wrapText="1"/>
    </xf>
    <xf numFmtId="0" fontId="5" fillId="0" borderId="1" xfId="0" applyFont="1" applyBorder="1" applyAlignment="1">
      <alignment vertical="center" wrapText="1"/>
    </xf>
    <xf numFmtId="0" fontId="1" fillId="0" borderId="0" xfId="0" applyFont="1"/>
    <xf numFmtId="0" fontId="1" fillId="0" borderId="0" xfId="0" applyFont="1" applyAlignment="1">
      <alignment horizontal="left" vertical="center"/>
    </xf>
    <xf numFmtId="0" fontId="2" fillId="0" borderId="0" xfId="0" applyFont="1" applyAlignment="1">
      <alignment horizontal="center" vertical="top" wrapText="1"/>
    </xf>
    <xf numFmtId="4" fontId="1" fillId="0" borderId="0" xfId="0" applyNumberFormat="1" applyFont="1"/>
    <xf numFmtId="0" fontId="1" fillId="0" borderId="1" xfId="0" applyFont="1" applyBorder="1" applyAlignment="1">
      <alignment vertical="top" wrapText="1"/>
    </xf>
    <xf numFmtId="0" fontId="9" fillId="0" borderId="0" xfId="0" applyFont="1"/>
    <xf numFmtId="0" fontId="2" fillId="0" borderId="0" xfId="0" applyFont="1"/>
    <xf numFmtId="164" fontId="1" fillId="0" borderId="0" xfId="0" applyNumberFormat="1" applyFont="1"/>
    <xf numFmtId="164" fontId="1" fillId="0" borderId="0" xfId="0" applyNumberFormat="1" applyFont="1" applyAlignment="1">
      <alignment horizontal="right"/>
    </xf>
    <xf numFmtId="0" fontId="4" fillId="3" borderId="1" xfId="0" applyFont="1" applyFill="1" applyBorder="1" applyAlignment="1">
      <alignment wrapText="1"/>
    </xf>
    <xf numFmtId="9" fontId="1" fillId="0" borderId="1" xfId="1" applyFont="1" applyFill="1" applyBorder="1" applyAlignment="1">
      <alignment horizontal="center" vertical="center"/>
    </xf>
    <xf numFmtId="0" fontId="5" fillId="0" borderId="1" xfId="0" applyFont="1" applyBorder="1" applyAlignment="1">
      <alignment horizontal="center" vertical="center"/>
    </xf>
    <xf numFmtId="0" fontId="1" fillId="0" borderId="2" xfId="0" applyFont="1" applyBorder="1" applyAlignment="1">
      <alignment horizontal="left" vertical="top" wrapText="1"/>
    </xf>
    <xf numFmtId="0" fontId="2" fillId="2" borderId="1" xfId="0" applyFont="1" applyFill="1" applyBorder="1"/>
    <xf numFmtId="0" fontId="2" fillId="2" borderId="1" xfId="0" applyFont="1" applyFill="1" applyBorder="1" applyAlignment="1">
      <alignment wrapText="1"/>
    </xf>
    <xf numFmtId="0" fontId="4" fillId="2" borderId="1" xfId="0" applyFont="1" applyFill="1" applyBorder="1" applyAlignment="1">
      <alignment wrapText="1"/>
    </xf>
    <xf numFmtId="4" fontId="2" fillId="2" borderId="1" xfId="0" applyNumberFormat="1" applyFont="1" applyFill="1" applyBorder="1" applyAlignment="1">
      <alignment horizontal="center" wrapText="1"/>
    </xf>
    <xf numFmtId="0" fontId="11" fillId="0" borderId="0" xfId="0" applyFont="1"/>
    <xf numFmtId="0" fontId="1" fillId="4" borderId="0" xfId="0" applyFont="1" applyFill="1"/>
    <xf numFmtId="0" fontId="13" fillId="0" borderId="0" xfId="0" applyFont="1"/>
    <xf numFmtId="0" fontId="2" fillId="6" borderId="1" xfId="0" applyFont="1" applyFill="1" applyBorder="1"/>
    <xf numFmtId="0" fontId="1" fillId="6" borderId="1" xfId="0" applyFont="1" applyFill="1" applyBorder="1"/>
    <xf numFmtId="0" fontId="8" fillId="6" borderId="1" xfId="0" applyFont="1" applyFill="1" applyBorder="1"/>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xf>
    <xf numFmtId="4"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0" fontId="1"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1" fillId="2" borderId="1" xfId="0" applyFont="1" applyFill="1" applyBorder="1" applyAlignment="1">
      <alignment vertical="top" wrapText="1"/>
    </xf>
    <xf numFmtId="0" fontId="1" fillId="2" borderId="1" xfId="0" applyFont="1" applyFill="1" applyBorder="1" applyAlignment="1">
      <alignment horizontal="left" vertical="center" wrapText="1"/>
    </xf>
    <xf numFmtId="0" fontId="1" fillId="2" borderId="1" xfId="0" applyFont="1" applyFill="1" applyBorder="1"/>
    <xf numFmtId="0" fontId="11" fillId="2" borderId="1" xfId="0" applyFont="1" applyFill="1" applyBorder="1"/>
    <xf numFmtId="0" fontId="11" fillId="2" borderId="1" xfId="0" applyFont="1" applyFill="1" applyBorder="1" applyAlignment="1">
      <alignment wrapText="1"/>
    </xf>
    <xf numFmtId="0" fontId="12" fillId="2" borderId="1" xfId="0" applyFont="1" applyFill="1" applyBorder="1" applyAlignment="1">
      <alignment wrapText="1"/>
    </xf>
    <xf numFmtId="0" fontId="1" fillId="5" borderId="2" xfId="0" applyFont="1" applyFill="1" applyBorder="1" applyAlignment="1">
      <alignment horizontal="left" vertical="top" wrapText="1"/>
    </xf>
    <xf numFmtId="0" fontId="7" fillId="5" borderId="1" xfId="0" applyFont="1" applyFill="1" applyBorder="1" applyAlignment="1">
      <alignment vertical="center" wrapText="1"/>
    </xf>
    <xf numFmtId="0" fontId="5" fillId="5" borderId="1" xfId="0" applyFont="1" applyFill="1" applyBorder="1" applyAlignment="1">
      <alignment horizontal="center" vertical="center"/>
    </xf>
    <xf numFmtId="0" fontId="2" fillId="7" borderId="2" xfId="0" applyFont="1" applyFill="1" applyBorder="1" applyAlignment="1">
      <alignment horizontal="left" vertical="top" wrapText="1"/>
    </xf>
    <xf numFmtId="0" fontId="10" fillId="7" borderId="1" xfId="0" applyFont="1" applyFill="1" applyBorder="1" applyAlignment="1">
      <alignment vertical="center" wrapText="1"/>
    </xf>
    <xf numFmtId="0" fontId="4" fillId="7" borderId="1" xfId="0" applyFont="1" applyFill="1" applyBorder="1" applyAlignment="1">
      <alignment horizontal="center" vertical="center"/>
    </xf>
    <xf numFmtId="0" fontId="11" fillId="0" borderId="1" xfId="0" applyFont="1" applyBorder="1"/>
    <xf numFmtId="0" fontId="14" fillId="0" borderId="1" xfId="0" applyFont="1" applyBorder="1" applyAlignment="1">
      <alignment horizontal="right"/>
    </xf>
    <xf numFmtId="4" fontId="14" fillId="0" borderId="1" xfId="0" applyNumberFormat="1" applyFont="1" applyBorder="1"/>
    <xf numFmtId="14" fontId="9" fillId="0" borderId="0" xfId="0" applyNumberFormat="1" applyFont="1" applyAlignment="1">
      <alignment horizontal="left"/>
    </xf>
    <xf numFmtId="0" fontId="15" fillId="0" borderId="0" xfId="0" applyFont="1" applyAlignment="1">
      <alignment horizontal="center" vertical="top" wrapText="1"/>
    </xf>
    <xf numFmtId="0" fontId="5" fillId="0" borderId="1" xfId="0" applyFont="1" applyBorder="1" applyAlignment="1">
      <alignment horizontal="left" vertical="top" wrapText="1"/>
    </xf>
    <xf numFmtId="0" fontId="1" fillId="0" borderId="0" xfId="0" applyFont="1" applyAlignment="1">
      <alignment horizontal="center" vertical="top" wrapText="1"/>
    </xf>
    <xf numFmtId="0" fontId="4" fillId="0" borderId="0" xfId="0" applyFont="1" applyAlignment="1">
      <alignment horizontal="center" vertical="top" wrapText="1"/>
    </xf>
    <xf numFmtId="0" fontId="1" fillId="0" borderId="0" xfId="0" applyFont="1" applyAlignment="1">
      <alignment vertical="top" wrapText="1"/>
    </xf>
    <xf numFmtId="0" fontId="1" fillId="0" borderId="0" xfId="0" applyFont="1" applyAlignment="1">
      <alignment horizontal="left" vertical="center" wrapText="1"/>
    </xf>
    <xf numFmtId="0" fontId="1" fillId="0" borderId="1" xfId="0" applyFont="1" applyBorder="1"/>
    <xf numFmtId="4" fontId="1" fillId="0" borderId="0" xfId="0" applyNumberFormat="1"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xf>
    <xf numFmtId="2" fontId="1" fillId="0" borderId="1" xfId="0" applyNumberFormat="1" applyFont="1" applyBorder="1" applyAlignment="1">
      <alignment horizontal="right" vertical="center" wrapText="1"/>
    </xf>
    <xf numFmtId="4" fontId="1" fillId="0" borderId="1" xfId="1" applyNumberFormat="1" applyFont="1" applyFill="1" applyBorder="1" applyAlignment="1">
      <alignment horizontal="right" vertical="center"/>
    </xf>
    <xf numFmtId="9" fontId="1" fillId="0" borderId="1" xfId="0" applyNumberFormat="1" applyFont="1" applyBorder="1" applyAlignment="1">
      <alignment horizontal="right" vertical="center" wrapText="1"/>
    </xf>
    <xf numFmtId="4" fontId="1" fillId="0" borderId="1" xfId="0" applyNumberFormat="1" applyFont="1" applyBorder="1" applyAlignment="1">
      <alignment horizontal="right" vertical="center" wrapText="1"/>
    </xf>
    <xf numFmtId="0" fontId="16" fillId="8" borderId="4" xfId="0" applyFont="1" applyFill="1" applyBorder="1" applyAlignment="1">
      <alignment horizontal="left" vertical="top" wrapText="1"/>
    </xf>
    <xf numFmtId="0" fontId="16" fillId="8" borderId="2" xfId="0" applyFont="1" applyFill="1" applyBorder="1" applyAlignment="1">
      <alignment horizontal="left" vertical="top" wrapText="1"/>
    </xf>
    <xf numFmtId="0" fontId="17" fillId="8" borderId="1" xfId="0" applyFont="1" applyFill="1" applyBorder="1" applyAlignment="1">
      <alignment horizontal="center" vertical="center"/>
    </xf>
    <xf numFmtId="0" fontId="18" fillId="8" borderId="1" xfId="0" applyFont="1" applyFill="1" applyBorder="1" applyAlignment="1">
      <alignment vertical="center" wrapText="1"/>
    </xf>
    <xf numFmtId="0" fontId="21" fillId="0" borderId="1" xfId="0" applyFont="1" applyBorder="1" applyAlignment="1">
      <alignment horizontal="justify" vertical="center" wrapText="1"/>
    </xf>
    <xf numFmtId="4" fontId="0" fillId="0" borderId="0" xfId="0" applyNumberFormat="1"/>
    <xf numFmtId="0" fontId="23" fillId="0" borderId="0" xfId="0" applyFont="1" applyAlignment="1">
      <alignment vertical="center"/>
    </xf>
    <xf numFmtId="0" fontId="24" fillId="0" borderId="1" xfId="0" applyFont="1" applyBorder="1" applyAlignment="1">
      <alignment horizontal="justify" vertical="center" wrapText="1"/>
    </xf>
    <xf numFmtId="0" fontId="24" fillId="0" borderId="1" xfId="0" applyFont="1" applyBorder="1"/>
    <xf numFmtId="0" fontId="21" fillId="0" borderId="1" xfId="0" applyFont="1" applyBorder="1"/>
    <xf numFmtId="4" fontId="20" fillId="0" borderId="1" xfId="0" applyNumberFormat="1" applyFont="1" applyBorder="1"/>
    <xf numFmtId="0" fontId="0" fillId="0" borderId="1" xfId="0" applyBorder="1"/>
    <xf numFmtId="0" fontId="26" fillId="0" borderId="1" xfId="0" applyFont="1" applyBorder="1" applyAlignment="1">
      <alignment horizontal="justify" vertical="center" wrapText="1"/>
    </xf>
    <xf numFmtId="4" fontId="22" fillId="0" borderId="1" xfId="0" applyNumberFormat="1" applyFont="1" applyBorder="1" applyAlignment="1">
      <alignment horizontal="right" vertical="center" wrapText="1"/>
    </xf>
    <xf numFmtId="0" fontId="22" fillId="0" borderId="1" xfId="0" applyFont="1" applyBorder="1" applyAlignment="1">
      <alignment horizontal="justify" vertical="center" wrapText="1"/>
    </xf>
    <xf numFmtId="4" fontId="26" fillId="0" borderId="1" xfId="0" applyNumberFormat="1" applyFont="1" applyBorder="1" applyAlignment="1">
      <alignment horizontal="right" vertical="center" wrapText="1"/>
    </xf>
    <xf numFmtId="0" fontId="0" fillId="0" borderId="0" xfId="0" applyAlignment="1">
      <alignment vertical="center" wrapText="1"/>
    </xf>
    <xf numFmtId="0" fontId="24" fillId="0" borderId="0" xfId="0" applyFont="1" applyAlignment="1">
      <alignment horizontal="justify" vertical="center"/>
    </xf>
    <xf numFmtId="3" fontId="22" fillId="0" borderId="1" xfId="0" applyNumberFormat="1" applyFont="1" applyBorder="1" applyAlignment="1">
      <alignment horizontal="justify" vertical="center" wrapText="1"/>
    </xf>
    <xf numFmtId="0" fontId="22" fillId="0" borderId="1" xfId="0" applyFont="1" applyBorder="1" applyAlignment="1">
      <alignment horizontal="left" vertical="center" wrapText="1"/>
    </xf>
    <xf numFmtId="0" fontId="2" fillId="0" borderId="1" xfId="0" applyFont="1" applyBorder="1" applyAlignment="1">
      <alignment horizontal="right" vertical="top"/>
    </xf>
    <xf numFmtId="0" fontId="2" fillId="0" borderId="2" xfId="0" applyFont="1" applyBorder="1" applyAlignment="1">
      <alignment horizontal="center" vertical="top" wrapText="1"/>
    </xf>
    <xf numFmtId="0" fontId="2" fillId="4" borderId="2" xfId="0" applyFont="1" applyFill="1" applyBorder="1" applyAlignment="1">
      <alignment horizontal="center" vertical="top" wrapText="1"/>
    </xf>
    <xf numFmtId="0" fontId="2" fillId="0" borderId="9" xfId="0" applyFont="1" applyBorder="1" applyAlignment="1">
      <alignment horizontal="center" vertical="top" wrapText="1"/>
    </xf>
    <xf numFmtId="0" fontId="28" fillId="0" borderId="0" xfId="0" applyFont="1" applyAlignment="1">
      <alignment vertical="top" wrapText="1"/>
    </xf>
    <xf numFmtId="0" fontId="28" fillId="4" borderId="0" xfId="0" applyFont="1" applyFill="1" applyAlignment="1">
      <alignment vertical="top" wrapText="1"/>
    </xf>
    <xf numFmtId="4" fontId="28" fillId="0" borderId="0" xfId="0" applyNumberFormat="1" applyFont="1" applyAlignment="1">
      <alignment vertical="top" wrapText="1"/>
    </xf>
    <xf numFmtId="0" fontId="24" fillId="0" borderId="1" xfId="0" applyFont="1" applyBorder="1" applyAlignment="1">
      <alignment vertical="center" wrapText="1"/>
    </xf>
    <xf numFmtId="0" fontId="25" fillId="0" borderId="1" xfId="0" applyFont="1" applyBorder="1" applyAlignment="1">
      <alignment horizontal="justify" vertical="center" wrapText="1"/>
    </xf>
    <xf numFmtId="4" fontId="22" fillId="0" borderId="1" xfId="0" applyNumberFormat="1" applyFont="1" applyBorder="1" applyAlignment="1">
      <alignment vertical="center" wrapText="1"/>
    </xf>
    <xf numFmtId="4" fontId="26" fillId="0" borderId="1" xfId="0" applyNumberFormat="1" applyFont="1" applyBorder="1" applyAlignment="1">
      <alignment vertical="center" wrapText="1"/>
    </xf>
    <xf numFmtId="0" fontId="26" fillId="0" borderId="1" xfId="0" applyFont="1" applyBorder="1" applyAlignment="1">
      <alignment vertical="center" wrapText="1"/>
    </xf>
    <xf numFmtId="0" fontId="22" fillId="0" borderId="1" xfId="0" applyFont="1" applyBorder="1" applyAlignment="1">
      <alignment vertical="center" wrapText="1"/>
    </xf>
    <xf numFmtId="4" fontId="36" fillId="0" borderId="1" xfId="0" applyNumberFormat="1" applyFont="1" applyBorder="1" applyAlignment="1">
      <alignment vertical="center" wrapText="1"/>
    </xf>
    <xf numFmtId="0" fontId="0" fillId="0" borderId="0" xfId="0" applyAlignment="1">
      <alignment vertical="top" wrapText="1"/>
    </xf>
    <xf numFmtId="0" fontId="20" fillId="0" borderId="0" xfId="0" applyFont="1"/>
    <xf numFmtId="0" fontId="20" fillId="0" borderId="0" xfId="0" applyFont="1" applyAlignment="1">
      <alignment vertical="top" wrapText="1"/>
    </xf>
    <xf numFmtId="0" fontId="0" fillId="0" borderId="0" xfId="0" applyAlignment="1">
      <alignment wrapText="1"/>
    </xf>
    <xf numFmtId="0" fontId="0" fillId="0" borderId="0" xfId="0" applyAlignment="1">
      <alignment horizontal="right"/>
    </xf>
    <xf numFmtId="0" fontId="0" fillId="0" borderId="0" xfId="0" applyAlignment="1">
      <alignment vertical="top"/>
    </xf>
    <xf numFmtId="0" fontId="0" fillId="0" borderId="1" xfId="0" applyBorder="1" applyAlignment="1">
      <alignment vertical="top" wrapText="1"/>
    </xf>
    <xf numFmtId="0" fontId="0" fillId="11" borderId="1" xfId="0" applyFill="1" applyBorder="1" applyAlignment="1">
      <alignment vertical="top" wrapText="1"/>
    </xf>
    <xf numFmtId="0" fontId="0" fillId="11" borderId="1" xfId="0" applyFill="1" applyBorder="1"/>
    <xf numFmtId="0" fontId="37" fillId="0" borderId="1" xfId="0" applyFont="1" applyBorder="1" applyAlignment="1">
      <alignment vertical="top" wrapText="1"/>
    </xf>
    <xf numFmtId="0" fontId="37" fillId="11" borderId="1" xfId="0" applyFont="1" applyFill="1" applyBorder="1" applyAlignment="1">
      <alignment vertical="top" wrapText="1"/>
    </xf>
    <xf numFmtId="0" fontId="0" fillId="12" borderId="1" xfId="0" applyFill="1" applyBorder="1" applyAlignment="1">
      <alignment vertical="top" wrapText="1"/>
    </xf>
    <xf numFmtId="0" fontId="0" fillId="12" borderId="1" xfId="0" applyFill="1" applyBorder="1"/>
    <xf numFmtId="0" fontId="0" fillId="0" borderId="1" xfId="0" applyBorder="1" applyAlignment="1">
      <alignment vertical="center" wrapText="1"/>
    </xf>
    <xf numFmtId="0" fontId="0" fillId="13" borderId="1" xfId="0" applyFill="1" applyBorder="1" applyAlignment="1">
      <alignment vertical="top" wrapText="1"/>
    </xf>
    <xf numFmtId="0" fontId="0" fillId="13" borderId="1" xfId="0" applyFill="1" applyBorder="1"/>
    <xf numFmtId="0" fontId="0" fillId="12" borderId="1" xfId="0" applyFill="1" applyBorder="1" applyAlignment="1">
      <alignment wrapText="1"/>
    </xf>
    <xf numFmtId="0" fontId="0" fillId="0" borderId="1" xfId="0" applyBorder="1" applyAlignment="1">
      <alignment wrapText="1"/>
    </xf>
    <xf numFmtId="0" fontId="0" fillId="0" borderId="1"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2" xfId="0" applyBorder="1" applyAlignment="1">
      <alignment vertical="top" wrapText="1"/>
    </xf>
    <xf numFmtId="0" fontId="20" fillId="12" borderId="1" xfId="0" applyFont="1" applyFill="1" applyBorder="1" applyAlignment="1">
      <alignment vertical="top" wrapText="1"/>
    </xf>
    <xf numFmtId="0" fontId="20" fillId="12" borderId="1" xfId="0" applyFont="1" applyFill="1" applyBorder="1"/>
    <xf numFmtId="0" fontId="20" fillId="12" borderId="1" xfId="0" applyFont="1" applyFill="1" applyBorder="1" applyAlignment="1">
      <alignment wrapText="1"/>
    </xf>
    <xf numFmtId="0" fontId="20" fillId="12" borderId="1" xfId="0" applyFont="1" applyFill="1" applyBorder="1" applyAlignment="1">
      <alignment vertical="center" wrapText="1"/>
    </xf>
    <xf numFmtId="0" fontId="38" fillId="0" borderId="1" xfId="0" applyFont="1" applyBorder="1" applyAlignment="1">
      <alignment vertical="center" wrapText="1"/>
    </xf>
    <xf numFmtId="0" fontId="38" fillId="0" borderId="2" xfId="0" applyFont="1" applyBorder="1" applyAlignment="1">
      <alignment horizontal="left" vertical="center" wrapText="1"/>
    </xf>
    <xf numFmtId="0" fontId="38" fillId="0" borderId="1" xfId="0" applyFont="1" applyBorder="1" applyAlignment="1">
      <alignment horizontal="left" vertical="center" wrapText="1"/>
    </xf>
    <xf numFmtId="0" fontId="39" fillId="0" borderId="1" xfId="0" applyFont="1" applyBorder="1" applyAlignment="1">
      <alignment vertical="center" wrapText="1"/>
    </xf>
    <xf numFmtId="0" fontId="0" fillId="11" borderId="1" xfId="0" applyFill="1" applyBorder="1" applyAlignment="1">
      <alignment vertical="center" wrapText="1"/>
    </xf>
    <xf numFmtId="0" fontId="0" fillId="11" borderId="1" xfId="0" applyFill="1" applyBorder="1" applyAlignment="1">
      <alignment wrapText="1"/>
    </xf>
    <xf numFmtId="0" fontId="41" fillId="0" borderId="1" xfId="0" applyFont="1" applyBorder="1" applyAlignment="1">
      <alignment vertical="center" wrapText="1"/>
    </xf>
    <xf numFmtId="0" fontId="37" fillId="0" borderId="1" xfId="0" applyFont="1" applyBorder="1" applyAlignment="1">
      <alignment vertical="center" wrapText="1"/>
    </xf>
    <xf numFmtId="0" fontId="37" fillId="13" borderId="1" xfId="0" applyFont="1" applyFill="1" applyBorder="1" applyAlignment="1">
      <alignment vertical="top" wrapText="1"/>
    </xf>
    <xf numFmtId="0" fontId="37" fillId="0" borderId="1" xfId="0" applyFont="1" applyBorder="1" applyAlignment="1">
      <alignment wrapText="1"/>
    </xf>
    <xf numFmtId="0" fontId="37" fillId="0" borderId="2" xfId="0" applyFont="1" applyBorder="1" applyAlignment="1">
      <alignment vertical="top" wrapText="1"/>
    </xf>
    <xf numFmtId="0" fontId="37" fillId="11" borderId="1" xfId="0" applyFont="1" applyFill="1" applyBorder="1" applyAlignment="1">
      <alignment vertical="center" wrapText="1"/>
    </xf>
    <xf numFmtId="0" fontId="20" fillId="12" borderId="1" xfId="0" applyFont="1" applyFill="1" applyBorder="1" applyAlignment="1">
      <alignment horizontal="right" wrapText="1"/>
    </xf>
    <xf numFmtId="0" fontId="0" fillId="0" borderId="1" xfId="0" applyBorder="1" applyAlignment="1">
      <alignment horizontal="right" wrapText="1"/>
    </xf>
    <xf numFmtId="0" fontId="0" fillId="11" borderId="1" xfId="0" applyFill="1" applyBorder="1" applyAlignment="1">
      <alignment horizontal="right" wrapText="1"/>
    </xf>
    <xf numFmtId="0" fontId="20" fillId="12" borderId="1" xfId="0" applyFont="1" applyFill="1" applyBorder="1" applyAlignment="1">
      <alignment horizontal="right"/>
    </xf>
    <xf numFmtId="9" fontId="20" fillId="12" borderId="1" xfId="0" applyNumberFormat="1" applyFont="1" applyFill="1" applyBorder="1"/>
    <xf numFmtId="0" fontId="0" fillId="0" borderId="1" xfId="0" applyBorder="1" applyAlignment="1">
      <alignment horizontal="right"/>
    </xf>
    <xf numFmtId="9" fontId="0" fillId="0" borderId="1" xfId="0" applyNumberFormat="1" applyBorder="1"/>
    <xf numFmtId="0" fontId="0" fillId="13" borderId="1" xfId="0" applyFill="1" applyBorder="1" applyAlignment="1">
      <alignment horizontal="right"/>
    </xf>
    <xf numFmtId="9" fontId="0" fillId="13" borderId="1" xfId="0" applyNumberFormat="1" applyFill="1" applyBorder="1"/>
    <xf numFmtId="0" fontId="0" fillId="14" borderId="1" xfId="0" applyFill="1" applyBorder="1" applyAlignment="1">
      <alignment vertical="top" wrapText="1"/>
    </xf>
    <xf numFmtId="0" fontId="0" fillId="14" borderId="1" xfId="0" applyFill="1" applyBorder="1" applyAlignment="1">
      <alignment horizontal="right"/>
    </xf>
    <xf numFmtId="0" fontId="0" fillId="14" borderId="1" xfId="0" applyFill="1" applyBorder="1"/>
    <xf numFmtId="0" fontId="0" fillId="0" borderId="0" xfId="0" applyAlignment="1">
      <alignment horizontal="left" wrapText="1"/>
    </xf>
    <xf numFmtId="0" fontId="20" fillId="2" borderId="1" xfId="0" applyFont="1" applyFill="1" applyBorder="1" applyAlignment="1">
      <alignment vertical="top" wrapText="1"/>
    </xf>
    <xf numFmtId="0" fontId="20" fillId="2" borderId="1" xfId="0" applyFont="1" applyFill="1" applyBorder="1" applyAlignment="1">
      <alignment wrapText="1"/>
    </xf>
    <xf numFmtId="0" fontId="20" fillId="2" borderId="1" xfId="0" applyFont="1" applyFill="1" applyBorder="1"/>
    <xf numFmtId="0" fontId="20" fillId="2" borderId="1" xfId="0" applyFont="1" applyFill="1" applyBorder="1" applyAlignment="1">
      <alignment vertical="center" wrapText="1"/>
    </xf>
    <xf numFmtId="0" fontId="0" fillId="2" borderId="1" xfId="0" applyFill="1" applyBorder="1" applyAlignment="1">
      <alignment vertical="top" wrapText="1"/>
    </xf>
    <xf numFmtId="0" fontId="20" fillId="2" borderId="1" xfId="0" applyFont="1" applyFill="1" applyBorder="1" applyAlignment="1">
      <alignment horizontal="right"/>
    </xf>
    <xf numFmtId="0" fontId="20" fillId="2" borderId="1" xfId="0" applyFont="1" applyFill="1" applyBorder="1" applyAlignment="1">
      <alignment horizontal="right" wrapText="1"/>
    </xf>
    <xf numFmtId="0" fontId="20" fillId="2" borderId="1" xfId="0" applyFont="1" applyFill="1" applyBorder="1" applyAlignment="1">
      <alignment horizontal="left" vertical="top" wrapText="1"/>
    </xf>
    <xf numFmtId="9" fontId="20" fillId="2" borderId="1" xfId="0" applyNumberFormat="1" applyFont="1" applyFill="1" applyBorder="1" applyAlignment="1">
      <alignment horizontal="right"/>
    </xf>
    <xf numFmtId="9" fontId="0" fillId="0" borderId="1" xfId="0" applyNumberFormat="1" applyBorder="1" applyAlignment="1">
      <alignment horizontal="right"/>
    </xf>
    <xf numFmtId="0" fontId="30" fillId="0" borderId="0" xfId="3" applyFont="1" applyAlignment="1">
      <alignment vertical="top"/>
    </xf>
    <xf numFmtId="0" fontId="30" fillId="0" borderId="1" xfId="3" applyFont="1" applyBorder="1" applyAlignment="1">
      <alignment vertical="top"/>
    </xf>
    <xf numFmtId="0" fontId="0" fillId="0" borderId="2" xfId="0" applyBorder="1" applyAlignment="1">
      <alignment wrapText="1"/>
    </xf>
    <xf numFmtId="0" fontId="0" fillId="0" borderId="2" xfId="0" applyBorder="1"/>
    <xf numFmtId="0" fontId="0" fillId="11" borderId="1" xfId="0" applyFill="1" applyBorder="1" applyAlignment="1">
      <alignment horizontal="left" vertical="top" wrapText="1"/>
    </xf>
    <xf numFmtId="0" fontId="0" fillId="9" borderId="4" xfId="0" applyFill="1" applyBorder="1" applyAlignment="1">
      <alignment vertical="top" wrapText="1"/>
    </xf>
    <xf numFmtId="0" fontId="0" fillId="9" borderId="2" xfId="0" applyFill="1" applyBorder="1" applyAlignment="1">
      <alignment horizontal="left" vertical="top" wrapText="1"/>
    </xf>
    <xf numFmtId="0" fontId="0" fillId="9" borderId="13" xfId="0" applyFill="1" applyBorder="1" applyAlignment="1">
      <alignment horizontal="left" vertical="top" wrapText="1"/>
    </xf>
    <xf numFmtId="0" fontId="0" fillId="9" borderId="14" xfId="0" applyFill="1" applyBorder="1" applyAlignment="1">
      <alignment vertical="top" wrapText="1"/>
    </xf>
    <xf numFmtId="0" fontId="30" fillId="9" borderId="4" xfId="0" applyFont="1" applyFill="1" applyBorder="1" applyAlignment="1">
      <alignment vertical="top" wrapText="1"/>
    </xf>
    <xf numFmtId="0" fontId="0" fillId="10" borderId="2" xfId="0" applyFill="1" applyBorder="1" applyAlignment="1">
      <alignment horizontal="left" vertical="top" wrapText="1"/>
    </xf>
    <xf numFmtId="0" fontId="0" fillId="10" borderId="4" xfId="0" applyFill="1" applyBorder="1" applyAlignment="1">
      <alignment vertical="top" wrapText="1"/>
    </xf>
    <xf numFmtId="1" fontId="0" fillId="10" borderId="2" xfId="0" applyNumberFormat="1" applyFill="1" applyBorder="1" applyAlignment="1">
      <alignment horizontal="left" vertical="top" wrapText="1"/>
    </xf>
    <xf numFmtId="0" fontId="0" fillId="7" borderId="2" xfId="0" applyFill="1" applyBorder="1" applyAlignment="1">
      <alignment horizontal="left" vertical="top" wrapText="1"/>
    </xf>
    <xf numFmtId="0" fontId="0" fillId="7" borderId="4" xfId="0" applyFill="1" applyBorder="1" applyAlignment="1">
      <alignment vertical="top" wrapText="1"/>
    </xf>
    <xf numFmtId="0" fontId="0" fillId="7" borderId="2" xfId="0" applyFill="1" applyBorder="1" applyAlignment="1">
      <alignment vertical="top" wrapText="1"/>
    </xf>
    <xf numFmtId="3" fontId="0" fillId="7" borderId="2" xfId="0" applyNumberFormat="1" applyFill="1" applyBorder="1" applyAlignment="1">
      <alignment horizontal="left" vertical="top" wrapText="1"/>
    </xf>
    <xf numFmtId="1" fontId="0" fillId="7" borderId="2" xfId="0" applyNumberFormat="1" applyFill="1" applyBorder="1" applyAlignment="1">
      <alignment horizontal="left" vertical="top" wrapText="1"/>
    </xf>
    <xf numFmtId="0" fontId="0" fillId="0" borderId="3" xfId="0" applyBorder="1" applyAlignment="1">
      <alignment vertical="top" wrapText="1"/>
    </xf>
    <xf numFmtId="0" fontId="0" fillId="9" borderId="1" xfId="0" applyFill="1" applyBorder="1" applyAlignment="1">
      <alignment vertical="top" wrapText="1"/>
    </xf>
    <xf numFmtId="0" fontId="28" fillId="0" borderId="0" xfId="0" applyFont="1" applyAlignment="1">
      <alignment vertical="top"/>
    </xf>
    <xf numFmtId="0" fontId="0" fillId="0" borderId="8" xfId="0" applyBorder="1" applyAlignment="1">
      <alignment vertical="top" wrapText="1"/>
    </xf>
    <xf numFmtId="0" fontId="0" fillId="10" borderId="1" xfId="0" applyFill="1" applyBorder="1" applyAlignment="1">
      <alignment vertical="top" wrapText="1"/>
    </xf>
    <xf numFmtId="0" fontId="20" fillId="10" borderId="1" xfId="0" applyFont="1" applyFill="1" applyBorder="1" applyAlignment="1">
      <alignment vertical="top" wrapText="1"/>
    </xf>
    <xf numFmtId="0" fontId="20" fillId="7" borderId="1" xfId="0" applyFont="1" applyFill="1" applyBorder="1" applyAlignment="1">
      <alignment vertical="top" wrapText="1"/>
    </xf>
    <xf numFmtId="0" fontId="0" fillId="7" borderId="1" xfId="0" applyFill="1" applyBorder="1" applyAlignment="1">
      <alignment vertical="top" wrapText="1"/>
    </xf>
    <xf numFmtId="0" fontId="0" fillId="10" borderId="1" xfId="0" applyFill="1" applyBorder="1" applyAlignment="1">
      <alignment horizontal="left" vertical="top" wrapText="1"/>
    </xf>
    <xf numFmtId="0" fontId="0" fillId="9" borderId="1" xfId="0" applyFill="1" applyBorder="1" applyAlignment="1">
      <alignment horizontal="left" vertical="top" wrapText="1"/>
    </xf>
    <xf numFmtId="0" fontId="0" fillId="7" borderId="1" xfId="0" applyFill="1" applyBorder="1" applyAlignment="1">
      <alignment horizontal="left" vertical="top" wrapText="1"/>
    </xf>
    <xf numFmtId="9" fontId="0" fillId="10" borderId="2" xfId="0" applyNumberFormat="1" applyFill="1" applyBorder="1" applyAlignment="1">
      <alignment horizontal="left" vertical="top" wrapText="1"/>
    </xf>
    <xf numFmtId="2" fontId="0" fillId="10" borderId="2" xfId="0" applyNumberFormat="1" applyFill="1" applyBorder="1" applyAlignment="1">
      <alignment horizontal="left" vertical="top" wrapText="1"/>
    </xf>
    <xf numFmtId="0" fontId="0" fillId="10" borderId="4" xfId="0" applyFill="1" applyBorder="1" applyAlignment="1">
      <alignment horizontal="center" vertical="top" wrapText="1"/>
    </xf>
    <xf numFmtId="0" fontId="0" fillId="7" borderId="4" xfId="0" applyFill="1" applyBorder="1" applyAlignment="1">
      <alignment horizontal="center" vertical="top" wrapText="1"/>
    </xf>
    <xf numFmtId="0" fontId="31" fillId="0" borderId="8" xfId="0" applyFont="1" applyBorder="1" applyAlignment="1">
      <alignment vertical="top" wrapText="1"/>
    </xf>
    <xf numFmtId="0" fontId="31" fillId="9" borderId="1" xfId="0" applyFont="1" applyFill="1" applyBorder="1" applyAlignment="1">
      <alignment vertical="top" wrapText="1"/>
    </xf>
    <xf numFmtId="0" fontId="32" fillId="10" borderId="1" xfId="0" applyFont="1" applyFill="1" applyBorder="1" applyAlignment="1">
      <alignment vertical="top" wrapText="1"/>
    </xf>
    <xf numFmtId="0" fontId="32" fillId="7" borderId="1" xfId="0" applyFont="1" applyFill="1" applyBorder="1" applyAlignment="1">
      <alignment vertical="top" wrapText="1"/>
    </xf>
    <xf numFmtId="0" fontId="33" fillId="7" borderId="1" xfId="0" applyFont="1" applyFill="1" applyBorder="1" applyAlignment="1">
      <alignment vertical="top" wrapText="1"/>
    </xf>
    <xf numFmtId="0" fontId="34" fillId="0" borderId="0" xfId="0" applyFont="1" applyAlignment="1">
      <alignment vertical="top"/>
    </xf>
    <xf numFmtId="0" fontId="30" fillId="10" borderId="1" xfId="0" applyFont="1" applyFill="1" applyBorder="1" applyAlignment="1">
      <alignment vertical="top" wrapText="1"/>
    </xf>
    <xf numFmtId="0" fontId="5" fillId="7" borderId="1" xfId="0" applyFont="1" applyFill="1" applyBorder="1" applyAlignment="1">
      <alignment vertical="top" wrapText="1"/>
    </xf>
    <xf numFmtId="0" fontId="30" fillId="7" borderId="1" xfId="0" applyFont="1" applyFill="1" applyBorder="1" applyAlignment="1">
      <alignment vertical="top" wrapText="1"/>
    </xf>
    <xf numFmtId="0" fontId="20" fillId="9" borderId="1" xfId="0" applyFont="1" applyFill="1" applyBorder="1" applyAlignment="1">
      <alignment vertical="top" wrapText="1"/>
    </xf>
    <xf numFmtId="165" fontId="0" fillId="0" borderId="0" xfId="2" applyNumberFormat="1" applyFont="1" applyAlignment="1">
      <alignment vertical="top"/>
    </xf>
    <xf numFmtId="4" fontId="0" fillId="9" borderId="1" xfId="0" applyNumberFormat="1" applyFill="1" applyBorder="1" applyAlignment="1">
      <alignment horizontal="left" vertical="top" wrapText="1"/>
    </xf>
    <xf numFmtId="4" fontId="0" fillId="9" borderId="1" xfId="0" applyNumberFormat="1" applyFill="1" applyBorder="1" applyAlignment="1">
      <alignment vertical="top" wrapText="1"/>
    </xf>
    <xf numFmtId="4" fontId="0" fillId="10" borderId="1" xfId="0" applyNumberFormat="1" applyFill="1" applyBorder="1" applyAlignment="1">
      <alignment horizontal="left" vertical="top" wrapText="1"/>
    </xf>
    <xf numFmtId="4" fontId="0" fillId="7" borderId="1" xfId="0" applyNumberFormat="1" applyFill="1" applyBorder="1" applyAlignment="1">
      <alignment horizontal="left" vertical="top" wrapText="1"/>
    </xf>
    <xf numFmtId="9" fontId="0" fillId="9" borderId="1" xfId="0" applyNumberFormat="1" applyFill="1" applyBorder="1" applyAlignment="1">
      <alignment horizontal="left" vertical="top" wrapText="1"/>
    </xf>
    <xf numFmtId="9" fontId="0" fillId="9" borderId="1" xfId="0" applyNumberFormat="1" applyFill="1" applyBorder="1" applyAlignment="1">
      <alignment vertical="top" wrapText="1"/>
    </xf>
    <xf numFmtId="9" fontId="0" fillId="10" borderId="1" xfId="0" applyNumberFormat="1" applyFill="1" applyBorder="1" applyAlignment="1">
      <alignment horizontal="left" vertical="top" wrapText="1"/>
    </xf>
    <xf numFmtId="1" fontId="0" fillId="10" borderId="1" xfId="1" applyNumberFormat="1" applyFont="1" applyFill="1" applyBorder="1" applyAlignment="1">
      <alignment horizontal="left" vertical="top" wrapText="1"/>
    </xf>
    <xf numFmtId="166" fontId="30" fillId="9" borderId="1" xfId="0" applyNumberFormat="1" applyFont="1" applyFill="1" applyBorder="1" applyAlignment="1">
      <alignment horizontal="left" vertical="top" wrapText="1"/>
    </xf>
    <xf numFmtId="6" fontId="0" fillId="9" borderId="1" xfId="0" applyNumberFormat="1" applyFill="1" applyBorder="1" applyAlignment="1">
      <alignment horizontal="left" vertical="top" wrapText="1"/>
    </xf>
    <xf numFmtId="0" fontId="28" fillId="0" borderId="0" xfId="0" applyFont="1" applyAlignment="1">
      <alignment horizontal="right" vertical="top"/>
    </xf>
    <xf numFmtId="0" fontId="1" fillId="0" borderId="0" xfId="0" applyFont="1" applyAlignment="1">
      <alignment vertical="top"/>
    </xf>
    <xf numFmtId="0" fontId="0" fillId="7" borderId="1" xfId="0" applyFill="1" applyBorder="1" applyAlignment="1">
      <alignment horizontal="center" vertical="top" wrapText="1"/>
    </xf>
    <xf numFmtId="14" fontId="2" fillId="0" borderId="2" xfId="0" applyNumberFormat="1" applyFont="1" applyBorder="1" applyAlignment="1">
      <alignment horizontal="center" vertical="top" wrapText="1"/>
    </xf>
    <xf numFmtId="4" fontId="2" fillId="0" borderId="0" xfId="0" applyNumberFormat="1" applyFont="1" applyAlignment="1">
      <alignment horizontal="center" vertical="top" wrapText="1"/>
    </xf>
    <xf numFmtId="0" fontId="0" fillId="11" borderId="2" xfId="0" applyFill="1" applyBorder="1"/>
    <xf numFmtId="0" fontId="0" fillId="11" borderId="4" xfId="0" applyFill="1" applyBorder="1"/>
    <xf numFmtId="0" fontId="0" fillId="0" borderId="1" xfId="0" applyBorder="1" applyAlignment="1">
      <alignment vertical="top"/>
    </xf>
    <xf numFmtId="0" fontId="20" fillId="2" borderId="1" xfId="0" applyFont="1" applyFill="1" applyBorder="1" applyAlignment="1">
      <alignment vertical="top"/>
    </xf>
    <xf numFmtId="9" fontId="1" fillId="0" borderId="0" xfId="0" applyNumberFormat="1" applyFont="1"/>
    <xf numFmtId="4" fontId="7" fillId="5" borderId="1" xfId="0" applyNumberFormat="1" applyFont="1" applyFill="1" applyBorder="1" applyAlignment="1">
      <alignment vertical="center" wrapText="1"/>
    </xf>
    <xf numFmtId="0" fontId="5" fillId="6" borderId="1" xfId="0" applyFont="1" applyFill="1" applyBorder="1"/>
    <xf numFmtId="4" fontId="5" fillId="6" borderId="1" xfId="0" applyNumberFormat="1" applyFont="1" applyFill="1" applyBorder="1" applyAlignment="1">
      <alignment horizontal="center"/>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vertical="center" wrapText="1"/>
    </xf>
    <xf numFmtId="0" fontId="4" fillId="7" borderId="1" xfId="0" applyFont="1" applyFill="1" applyBorder="1" applyAlignment="1">
      <alignment horizontal="left" vertical="center" wrapText="1"/>
    </xf>
    <xf numFmtId="4" fontId="4" fillId="7"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4" fontId="5" fillId="5" borderId="1" xfId="0" applyNumberFormat="1" applyFont="1" applyFill="1" applyBorder="1" applyAlignment="1">
      <alignment horizontal="center" vertical="center" wrapText="1"/>
    </xf>
    <xf numFmtId="16" fontId="5" fillId="0" borderId="1" xfId="0" applyNumberFormat="1" applyFont="1" applyBorder="1" applyAlignment="1">
      <alignment horizontal="left" vertical="top" wrapText="1"/>
    </xf>
    <xf numFmtId="16" fontId="5" fillId="0" borderId="1" xfId="0" applyNumberFormat="1" applyFont="1" applyBorder="1" applyAlignment="1">
      <alignment horizontal="center" vertical="top" wrapText="1"/>
    </xf>
    <xf numFmtId="4" fontId="5" fillId="0" borderId="1" xfId="0" applyNumberFormat="1" applyFont="1" applyBorder="1" applyAlignment="1">
      <alignment horizontal="center" vertical="top" wrapText="1"/>
    </xf>
    <xf numFmtId="0" fontId="17" fillId="8" borderId="1" xfId="0" applyFont="1" applyFill="1" applyBorder="1" applyAlignment="1">
      <alignment horizontal="left" vertical="top" wrapText="1"/>
    </xf>
    <xf numFmtId="4" fontId="17" fillId="8" borderId="1" xfId="0" applyNumberFormat="1" applyFont="1" applyFill="1" applyBorder="1" applyAlignment="1">
      <alignment horizontal="right" vertical="center" wrapText="1"/>
    </xf>
    <xf numFmtId="0" fontId="17" fillId="8" borderId="1" xfId="0" applyFont="1" applyFill="1" applyBorder="1" applyAlignment="1">
      <alignment horizontal="left" vertical="center" wrapText="1"/>
    </xf>
    <xf numFmtId="0" fontId="14" fillId="2" borderId="1" xfId="0" applyFont="1" applyFill="1" applyBorder="1" applyAlignment="1">
      <alignment wrapText="1"/>
    </xf>
    <xf numFmtId="4" fontId="14" fillId="2" borderId="1" xfId="0" applyNumberFormat="1" applyFont="1" applyFill="1" applyBorder="1" applyAlignment="1">
      <alignment wrapText="1"/>
    </xf>
    <xf numFmtId="4" fontId="4" fillId="2" borderId="1" xfId="0" applyNumberFormat="1" applyFont="1" applyFill="1" applyBorder="1" applyAlignment="1">
      <alignment horizontal="center" wrapText="1"/>
    </xf>
    <xf numFmtId="0" fontId="4" fillId="6" borderId="1" xfId="0" applyFont="1" applyFill="1" applyBorder="1"/>
    <xf numFmtId="4" fontId="4" fillId="6" borderId="1" xfId="0" applyNumberFormat="1" applyFont="1" applyFill="1" applyBorder="1" applyAlignment="1">
      <alignment horizontal="center"/>
    </xf>
    <xf numFmtId="0" fontId="4" fillId="6" borderId="1" xfId="0" applyFont="1" applyFill="1" applyBorder="1" applyAlignment="1">
      <alignment horizontal="center"/>
    </xf>
    <xf numFmtId="4" fontId="4" fillId="6" borderId="1" xfId="0" applyNumberFormat="1" applyFont="1" applyFill="1" applyBorder="1" applyAlignment="1">
      <alignment horizontal="center" vertical="center"/>
    </xf>
    <xf numFmtId="9" fontId="5" fillId="0" borderId="1" xfId="0" applyNumberFormat="1" applyFont="1" applyBorder="1" applyAlignment="1">
      <alignment horizontal="center" vertical="center" wrapText="1"/>
    </xf>
    <xf numFmtId="9" fontId="5" fillId="0" borderId="1" xfId="1" applyFont="1" applyBorder="1" applyAlignment="1">
      <alignment horizontal="center" vertical="center"/>
    </xf>
    <xf numFmtId="4" fontId="5" fillId="0" borderId="1" xfId="1" applyNumberFormat="1" applyFont="1" applyBorder="1" applyAlignment="1">
      <alignment horizontal="center" vertical="center"/>
    </xf>
    <xf numFmtId="2" fontId="5"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4" fontId="5"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9" fontId="5" fillId="0" borderId="1" xfId="1" applyFont="1" applyFill="1" applyBorder="1" applyAlignment="1">
      <alignment horizontal="center" vertical="center"/>
    </xf>
    <xf numFmtId="4" fontId="5" fillId="0" borderId="1" xfId="1" applyNumberFormat="1" applyFont="1" applyFill="1" applyBorder="1" applyAlignment="1">
      <alignment horizontal="center" vertical="center"/>
    </xf>
    <xf numFmtId="3" fontId="5" fillId="0" borderId="1" xfId="0" applyNumberFormat="1" applyFont="1" applyBorder="1" applyAlignment="1">
      <alignment horizontal="center" vertical="center"/>
    </xf>
    <xf numFmtId="9" fontId="5" fillId="0" borderId="1" xfId="1" applyFont="1" applyBorder="1" applyAlignment="1">
      <alignment horizontal="center"/>
    </xf>
    <xf numFmtId="9" fontId="4" fillId="7" borderId="1" xfId="0" applyNumberFormat="1" applyFont="1" applyFill="1" applyBorder="1" applyAlignment="1">
      <alignment horizontal="center" vertical="center" wrapText="1"/>
    </xf>
    <xf numFmtId="9" fontId="4" fillId="7" borderId="1" xfId="1" applyFont="1" applyFill="1" applyBorder="1" applyAlignment="1">
      <alignment horizontal="center" vertical="center"/>
    </xf>
    <xf numFmtId="4" fontId="4" fillId="7" borderId="1" xfId="1" applyNumberFormat="1" applyFont="1" applyFill="1" applyBorder="1" applyAlignment="1">
      <alignment horizontal="center" vertical="center"/>
    </xf>
    <xf numFmtId="2" fontId="4" fillId="7" borderId="1" xfId="0" applyNumberFormat="1" applyFont="1" applyFill="1" applyBorder="1" applyAlignment="1">
      <alignment horizontal="center" vertical="center"/>
    </xf>
    <xf numFmtId="0" fontId="4" fillId="7" borderId="1" xfId="0" applyFont="1" applyFill="1" applyBorder="1" applyAlignment="1">
      <alignment vertical="center" wrapText="1"/>
    </xf>
    <xf numFmtId="9" fontId="5" fillId="5" borderId="1" xfId="0" applyNumberFormat="1" applyFont="1" applyFill="1" applyBorder="1" applyAlignment="1">
      <alignment horizontal="center" vertical="center" wrapText="1"/>
    </xf>
    <xf numFmtId="9" fontId="5" fillId="5" borderId="1" xfId="1" applyFont="1" applyFill="1" applyBorder="1" applyAlignment="1">
      <alignment horizontal="center" vertical="center"/>
    </xf>
    <xf numFmtId="4" fontId="5" fillId="5" borderId="1" xfId="1" applyNumberFormat="1" applyFont="1" applyFill="1" applyBorder="1" applyAlignment="1">
      <alignment horizontal="center" vertical="center"/>
    </xf>
    <xf numFmtId="2" fontId="5" fillId="5" borderId="1" xfId="0" applyNumberFormat="1" applyFont="1" applyFill="1" applyBorder="1" applyAlignment="1">
      <alignment horizontal="center" vertical="center"/>
    </xf>
    <xf numFmtId="0" fontId="5" fillId="5" borderId="1" xfId="0" applyFont="1" applyFill="1" applyBorder="1" applyAlignment="1">
      <alignment vertical="center" wrapText="1"/>
    </xf>
    <xf numFmtId="2" fontId="5" fillId="5" borderId="1" xfId="0" applyNumberFormat="1" applyFont="1" applyFill="1" applyBorder="1" applyAlignment="1">
      <alignment vertical="top"/>
    </xf>
    <xf numFmtId="2" fontId="5" fillId="0" borderId="2" xfId="0" applyNumberFormat="1" applyFont="1" applyBorder="1" applyAlignment="1">
      <alignment horizontal="center" vertical="center"/>
    </xf>
    <xf numFmtId="2" fontId="5" fillId="0" borderId="4" xfId="0" applyNumberFormat="1" applyFont="1" applyBorder="1" applyAlignment="1">
      <alignment horizontal="center" vertical="center"/>
    </xf>
    <xf numFmtId="9" fontId="17" fillId="8" borderId="1" xfId="0" applyNumberFormat="1" applyFont="1" applyFill="1" applyBorder="1" applyAlignment="1">
      <alignment horizontal="center" vertical="center" wrapText="1"/>
    </xf>
    <xf numFmtId="4" fontId="17" fillId="8" borderId="1" xfId="0" applyNumberFormat="1" applyFont="1" applyFill="1" applyBorder="1" applyAlignment="1">
      <alignment horizontal="center" vertical="center" wrapText="1"/>
    </xf>
    <xf numFmtId="2" fontId="17" fillId="8" borderId="1" xfId="0" applyNumberFormat="1" applyFont="1" applyFill="1" applyBorder="1" applyAlignment="1">
      <alignment vertical="top"/>
    </xf>
    <xf numFmtId="0" fontId="17" fillId="8" borderId="1" xfId="0" applyFont="1" applyFill="1" applyBorder="1" applyAlignment="1">
      <alignment vertical="center" wrapText="1"/>
    </xf>
    <xf numFmtId="9" fontId="14" fillId="2" borderId="1" xfId="0" applyNumberFormat="1" applyFont="1" applyFill="1" applyBorder="1" applyAlignment="1">
      <alignment wrapText="1"/>
    </xf>
    <xf numFmtId="4" fontId="14" fillId="2" borderId="1" xfId="0" applyNumberFormat="1" applyFont="1" applyFill="1" applyBorder="1" applyAlignment="1">
      <alignment horizontal="center" wrapText="1"/>
    </xf>
    <xf numFmtId="9" fontId="14" fillId="2" borderId="1" xfId="0" applyNumberFormat="1" applyFont="1" applyFill="1" applyBorder="1" applyAlignment="1">
      <alignment horizontal="center" wrapText="1"/>
    </xf>
    <xf numFmtId="0" fontId="14" fillId="2" borderId="1" xfId="0" applyFont="1" applyFill="1" applyBorder="1" applyAlignment="1">
      <alignment horizontal="center" wrapText="1"/>
    </xf>
    <xf numFmtId="0" fontId="14" fillId="2" borderId="1" xfId="0" applyFont="1" applyFill="1" applyBorder="1"/>
    <xf numFmtId="2" fontId="5" fillId="0" borderId="1" xfId="0" applyNumberFormat="1" applyFont="1" applyBorder="1" applyAlignment="1">
      <alignment horizontal="center" vertical="center" wrapText="1"/>
    </xf>
    <xf numFmtId="0" fontId="5"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1" fontId="5" fillId="4" borderId="1" xfId="0" applyNumberFormat="1" applyFont="1" applyFill="1" applyBorder="1" applyAlignment="1">
      <alignment horizontal="center" vertical="center"/>
    </xf>
    <xf numFmtId="4" fontId="5" fillId="4" borderId="1" xfId="0" applyNumberFormat="1"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9" fontId="5" fillId="2" borderId="1" xfId="1" applyFont="1" applyFill="1" applyBorder="1" applyAlignment="1">
      <alignment horizontal="center" vertical="center"/>
    </xf>
    <xf numFmtId="4" fontId="5" fillId="2" borderId="1" xfId="1" applyNumberFormat="1" applyFont="1" applyFill="1" applyBorder="1" applyAlignment="1">
      <alignment horizontal="center" vertical="center"/>
    </xf>
    <xf numFmtId="2" fontId="5" fillId="2" borderId="1" xfId="0" applyNumberFormat="1" applyFont="1" applyFill="1" applyBorder="1" applyAlignment="1">
      <alignment horizontal="center" vertical="center" wrapText="1"/>
    </xf>
    <xf numFmtId="0" fontId="5" fillId="2" borderId="1" xfId="0" applyFont="1" applyFill="1" applyBorder="1"/>
    <xf numFmtId="0" fontId="5" fillId="2" borderId="1" xfId="0" applyFont="1" applyFill="1" applyBorder="1" applyAlignment="1">
      <alignment vertical="center" wrapText="1"/>
    </xf>
    <xf numFmtId="0" fontId="5" fillId="2" borderId="1" xfId="0" applyFont="1" applyFill="1" applyBorder="1" applyAlignment="1">
      <alignment horizontal="center" vertical="center"/>
    </xf>
    <xf numFmtId="3" fontId="5" fillId="0" borderId="0" xfId="0" applyNumberFormat="1" applyFont="1"/>
    <xf numFmtId="0" fontId="5" fillId="0" borderId="0" xfId="0" applyFont="1"/>
    <xf numFmtId="4" fontId="5" fillId="0" borderId="0" xfId="0" applyNumberFormat="1" applyFont="1"/>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4" fillId="7" borderId="1" xfId="0" applyFont="1" applyFill="1" applyBorder="1" applyAlignment="1">
      <alignment horizontal="center" vertical="center" wrapText="1"/>
    </xf>
    <xf numFmtId="1" fontId="4" fillId="7"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1" fontId="17" fillId="8" borderId="1" xfId="0" applyNumberFormat="1" applyFont="1" applyFill="1" applyBorder="1" applyAlignment="1">
      <alignment horizontal="center" vertical="center" wrapText="1"/>
    </xf>
    <xf numFmtId="0" fontId="5" fillId="4" borderId="1" xfId="0" applyFont="1" applyFill="1" applyBorder="1" applyAlignment="1">
      <alignment horizontal="left" vertical="center" wrapText="1"/>
    </xf>
    <xf numFmtId="1" fontId="5" fillId="4"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9" fontId="5" fillId="0" borderId="2" xfId="0" applyNumberFormat="1" applyFont="1" applyBorder="1" applyAlignment="1">
      <alignment horizontal="center" vertical="center" wrapText="1"/>
    </xf>
    <xf numFmtId="9" fontId="5" fillId="0" borderId="3" xfId="0" applyNumberFormat="1" applyFont="1" applyBorder="1" applyAlignment="1">
      <alignment horizontal="center" vertical="center" wrapText="1"/>
    </xf>
    <xf numFmtId="9" fontId="5" fillId="0" borderId="4" xfId="0" applyNumberFormat="1" applyFont="1" applyBorder="1" applyAlignment="1">
      <alignment horizontal="center" vertical="center" wrapText="1"/>
    </xf>
    <xf numFmtId="0" fontId="2" fillId="3" borderId="5" xfId="0" applyFont="1" applyFill="1" applyBorder="1" applyAlignment="1">
      <alignment horizontal="center" wrapText="1"/>
    </xf>
    <xf numFmtId="0" fontId="2" fillId="3" borderId="7" xfId="0" applyFont="1" applyFill="1" applyBorder="1" applyAlignment="1">
      <alignment horizontal="center" wrapText="1"/>
    </xf>
    <xf numFmtId="0" fontId="2" fillId="3" borderId="6" xfId="0" applyFont="1" applyFill="1" applyBorder="1" applyAlignment="1">
      <alignment horizont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4" fontId="5" fillId="0" borderId="2" xfId="0" applyNumberFormat="1" applyFont="1" applyBorder="1" applyAlignment="1">
      <alignment horizontal="center" vertical="top" wrapText="1"/>
    </xf>
    <xf numFmtId="4" fontId="5" fillId="0" borderId="3"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4" fontId="4" fillId="0" borderId="4" xfId="0" applyNumberFormat="1" applyFont="1" applyBorder="1" applyAlignment="1">
      <alignment horizontal="center" vertical="top"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41" fillId="0" borderId="2"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4" fontId="5" fillId="0" borderId="2"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 fontId="5" fillId="0" borderId="2"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1" fontId="5" fillId="0" borderId="4"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2" fontId="5" fillId="0" borderId="2" xfId="0" applyNumberFormat="1" applyFont="1" applyBorder="1" applyAlignment="1">
      <alignment horizontal="center" vertical="center"/>
    </xf>
    <xf numFmtId="2" fontId="5" fillId="0" borderId="3" xfId="0" applyNumberFormat="1" applyFont="1" applyBorder="1" applyAlignment="1">
      <alignment horizontal="center" vertical="center"/>
    </xf>
    <xf numFmtId="2" fontId="5" fillId="0" borderId="4" xfId="0" applyNumberFormat="1" applyFont="1" applyBorder="1" applyAlignment="1">
      <alignment horizontal="center" vertical="center"/>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vertical="top" wrapText="1"/>
    </xf>
    <xf numFmtId="0" fontId="0" fillId="0" borderId="4" xfId="0" applyBorder="1" applyAlignment="1">
      <alignment horizontal="center" vertical="top" wrapText="1"/>
    </xf>
    <xf numFmtId="0" fontId="0" fillId="0" borderId="13" xfId="0" applyBorder="1" applyAlignment="1">
      <alignment horizontal="center" wrapText="1"/>
    </xf>
    <xf numFmtId="0" fontId="0" fillId="0" borderId="10" xfId="0" applyBorder="1" applyAlignment="1">
      <alignment horizontal="center" wrapText="1"/>
    </xf>
    <xf numFmtId="0" fontId="0" fillId="0" borderId="14"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0" borderId="1" xfId="0" applyBorder="1" applyAlignment="1">
      <alignment horizontal="center" vertical="top" wrapText="1"/>
    </xf>
    <xf numFmtId="0" fontId="0" fillId="0" borderId="3" xfId="0" applyBorder="1" applyAlignment="1">
      <alignment horizontal="center" vertical="top" wrapText="1"/>
    </xf>
    <xf numFmtId="0" fontId="20" fillId="0" borderId="0" xfId="0" applyFont="1" applyAlignment="1">
      <alignment horizontal="left" vertical="top" wrapText="1"/>
    </xf>
    <xf numFmtId="0" fontId="0" fillId="0" borderId="10" xfId="0" applyBorder="1" applyAlignment="1">
      <alignment horizontal="center" vertical="top" wrapText="1"/>
    </xf>
    <xf numFmtId="0" fontId="0" fillId="10" borderId="2" xfId="0" applyFill="1" applyBorder="1" applyAlignment="1">
      <alignment horizontal="center" vertical="top" wrapText="1"/>
    </xf>
    <xf numFmtId="0" fontId="0" fillId="10" borderId="4" xfId="0" applyFill="1" applyBorder="1" applyAlignment="1">
      <alignment horizontal="center" vertical="top" wrapText="1"/>
    </xf>
    <xf numFmtId="1" fontId="0" fillId="7" borderId="2" xfId="0" applyNumberFormat="1" applyFill="1" applyBorder="1" applyAlignment="1">
      <alignment horizontal="center" vertical="top" wrapText="1"/>
    </xf>
    <xf numFmtId="1" fontId="0" fillId="7" borderId="4" xfId="0" applyNumberFormat="1" applyFill="1" applyBorder="1" applyAlignment="1">
      <alignment horizontal="center" vertical="top" wrapText="1"/>
    </xf>
    <xf numFmtId="0" fontId="0" fillId="7" borderId="2" xfId="0" applyFill="1" applyBorder="1" applyAlignment="1">
      <alignment horizontal="center" vertical="top" wrapText="1"/>
    </xf>
    <xf numFmtId="0" fontId="0" fillId="7" borderId="4" xfId="0" applyFill="1" applyBorder="1" applyAlignment="1">
      <alignment horizontal="center" vertical="top" wrapText="1"/>
    </xf>
    <xf numFmtId="0" fontId="0" fillId="9" borderId="13" xfId="0" applyFill="1" applyBorder="1" applyAlignment="1">
      <alignment horizontal="left" vertical="top" wrapText="1"/>
    </xf>
    <xf numFmtId="0" fontId="0" fillId="9" borderId="14" xfId="0" applyFill="1" applyBorder="1" applyAlignment="1">
      <alignment horizontal="left" vertical="top" wrapText="1"/>
    </xf>
    <xf numFmtId="0" fontId="0" fillId="9" borderId="13" xfId="0" applyFill="1" applyBorder="1" applyAlignment="1">
      <alignment horizontal="center" vertical="top" wrapText="1"/>
    </xf>
    <xf numFmtId="0" fontId="0" fillId="9" borderId="14" xfId="0" applyFill="1" applyBorder="1" applyAlignment="1">
      <alignment horizontal="center" vertical="top" wrapText="1"/>
    </xf>
    <xf numFmtId="0" fontId="0" fillId="9" borderId="2" xfId="0" applyFill="1" applyBorder="1" applyAlignment="1">
      <alignment horizontal="center" vertical="top" wrapText="1"/>
    </xf>
    <xf numFmtId="0" fontId="0" fillId="9" borderId="4" xfId="0" applyFill="1" applyBorder="1" applyAlignment="1">
      <alignment horizontal="center" vertical="top" wrapText="1"/>
    </xf>
    <xf numFmtId="0" fontId="24" fillId="0" borderId="1" xfId="0" applyFont="1" applyBorder="1" applyAlignment="1">
      <alignment horizontal="justify" vertical="center" wrapText="1"/>
    </xf>
    <xf numFmtId="0" fontId="25" fillId="0" borderId="1" xfId="0" applyFont="1" applyBorder="1" applyAlignment="1">
      <alignment horizontal="justify" vertical="center" wrapText="1"/>
    </xf>
    <xf numFmtId="0" fontId="24" fillId="0" borderId="1" xfId="0" applyFont="1" applyBorder="1" applyAlignment="1">
      <alignment horizontal="center" vertical="center" wrapText="1"/>
    </xf>
    <xf numFmtId="0" fontId="21" fillId="0" borderId="1" xfId="0" applyFont="1" applyBorder="1" applyAlignment="1">
      <alignment horizontal="justify" vertical="center" wrapText="1"/>
    </xf>
    <xf numFmtId="0" fontId="24" fillId="0" borderId="1" xfId="0" applyFont="1" applyBorder="1" applyAlignment="1">
      <alignment horizontal="center"/>
    </xf>
  </cellXfs>
  <cellStyles count="4">
    <cellStyle name="Comma [0]" xfId="2" builtinId="6"/>
    <cellStyle name="Hyperlink" xfId="3"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Aivi Kuivonen" id="{8DAE7BBF-E833-4CD8-951C-73F6FFA4637D}" userId="Aivi Kuivone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5" dT="2025-06-27T08:04:52.38" personId="{8DAE7BBF-E833-4CD8-951C-73F6FFA4637D}" id="{2FFD2B66-6E28-4C39-8B49-D936DB79C05B}">
    <text>Algul oli plaanis 16 väravat rentida, aga renditi 18 (2 Paigaldati Saatsesse)</text>
  </threadedComment>
  <threadedComment ref="E15" dT="2025-06-27T08:04:09.96" personId="{8DAE7BBF-E833-4CD8-951C-73F6FFA4637D}" id="{3545B8D9-FAA0-4E6F-ABCB-89B099A6B683}">
    <text>16 väravat vahetatakse välja. Kokku soetatakse 20 uut väravat.</text>
  </threadedComment>
  <threadedComment ref="E18" dT="2025-06-27T11:54:11.77" personId="{8DAE7BBF-E833-4CD8-951C-73F6FFA4637D}" id="{CF902303-3805-4EDF-AF29-9552A7A62E53}">
    <text>Entire Eastern border</text>
  </threadedComment>
  <threadedComment ref="E19" dT="2025-06-27T15:22:44.51" personId="{8DAE7BBF-E833-4CD8-951C-73F6FFA4637D}" id="{7D930CCE-C781-4E10-9BE4-FB5FBD071EFE}">
    <text>KPK</text>
  </threadedComment>
  <threadedComment ref="E20" dT="2025-06-27T11:52:57.37" personId="{8DAE7BBF-E833-4CD8-951C-73F6FFA4637D}" id="{B2390D9E-9200-428E-A809-6BA40A266D61}">
    <text>Lighting in 6 BCPs will be adjusted</text>
  </threadedComment>
  <threadedComment ref="D22" dT="2025-07-03T07:32:49.39" personId="{8DAE7BBF-E833-4CD8-951C-73F6FFA4637D}" id="{20E66327-8C22-4340-96CA-FACD8AACFD9D}">
    <text>Oli plaanitud ainult Luhamaa</text>
  </threadedComment>
  <threadedComment ref="E22" dT="2025-07-03T07:33:04.91" personId="{8DAE7BBF-E833-4CD8-951C-73F6FFA4637D}" id="{70ED5EE1-282E-4361-A569-03904252DCF1}">
    <text>Oli plaanitud ainult Luhamaa</text>
  </threadedComment>
  <threadedComment ref="D33" dT="2025-07-03T07:19:37.23" personId="{8DAE7BBF-E833-4CD8-951C-73F6FFA4637D}" id="{AE1C84C5-9FF1-4010-B530-D5233F91F374}">
    <text>TATides ja toetulepingutes on suurem arv</text>
  </threadedComment>
  <threadedComment ref="E33" dT="2025-07-03T07:23:53.56" personId="{8DAE7BBF-E833-4CD8-951C-73F6FFA4637D}" id="{8A15F31E-0869-4033-A40E-C196AE13BC6B}">
    <text>Sõlmitu toetuslepingud ja TATId annavad kokku suurema numbri.</text>
  </threadedComment>
  <threadedComment ref="E41" dT="2025-06-29T06:45:17.80" personId="{8DAE7BBF-E833-4CD8-951C-73F6FFA4637D}" id="{75C1EE1F-4E34-417E-A2B6-A6BE9B9EB0B5}">
    <text>Same persons will be trained in both projects, but as these are different projects we need to count them twice.</text>
  </threadedComment>
  <threadedComment ref="D45" dT="2025-07-03T07:18:31.51" personId="{8DAE7BBF-E833-4CD8-951C-73F6FFA4637D}" id="{A9F22682-4DAD-431A-9F6F-DE658B6476E3}">
    <text>Tegelikkuses koolitati rohkem</text>
  </threadedComment>
  <threadedComment ref="E45" dT="2025-07-03T07:28:43.91" personId="{8DAE7BBF-E833-4CD8-951C-73F6FFA4637D}" id="{32D67C49-1129-4C58-AA33-AE015EA71F66}">
    <text>20 uut piirihaldusametnikku on planeeritu ületamine</text>
  </threadedComment>
  <threadedComment ref="E51" dT="2025-06-29T06:44:10.17" personId="{8DAE7BBF-E833-4CD8-951C-73F6FFA4637D}" id="{72B972CC-E9C9-43DC-A7E6-FC8D8A31F8D1}">
    <text>Same persons will be trained in both projects, but we need to count them twice, beacuse counting is per project.</text>
  </threadedComment>
  <threadedComment ref="D56" dT="2025-07-03T07:12:15.26" personId="{8DAE7BBF-E833-4CD8-951C-73F6FFA4637D}" id="{AFF7AE58-F478-4563-BB8A-69DAED0BA9D0}">
    <text>Algselt oli plaanis 4, kuna definitsioon on segane, siis TATidesse sai 2.</text>
  </threadedComment>
  <threadedComment ref="D64" dT="2025-06-27T13:14:08.46" personId="{8DAE7BBF-E833-4CD8-951C-73F6FFA4637D}" id="{7D2D09F3-4841-42FE-AF28-8F5DF7AE1312}">
    <text>EES, SIS, ETIAS, IO</text>
  </threadedComment>
  <threadedComment ref="E64" dT="2025-06-27T13:14:22.51" personId="{8DAE7BBF-E833-4CD8-951C-73F6FFA4637D}" id="{0E99D79E-375F-43CD-89A1-DCFBFD5B57A4}">
    <text>SIS, EES; ETIAS; IO</text>
  </threadedComment>
  <threadedComment ref="E76" dT="2025-06-27T13:15:19.19" personId="{8DAE7BBF-E833-4CD8-951C-73F6FFA4637D}" id="{BF6D2FF4-AC4A-4A24-A539-201CDB8982A3}">
    <text>IO</text>
  </threadedComment>
  <threadedComment ref="E94" dT="2025-06-27T13:18:36.38" personId="{8DAE7BBF-E833-4CD8-951C-73F6FFA4637D}" id="{A9FFF21C-606E-460D-A285-007A824951BA}">
    <text>102 soovitust tehti, millest 8 täitmisesse panustab BMVI</text>
  </threadedComment>
  <threadedComment ref="E95" dT="2025-06-27T13:19:47.53" personId="{8DAE7BBF-E833-4CD8-951C-73F6FFA4637D}" id="{6B23F81D-D4F6-4E35-B057-0BF9623E7223}">
    <text>Rec nr 79</text>
  </threadedComment>
  <threadedComment ref="E96" dT="2025-06-27T13:20:00.88" personId="{8DAE7BBF-E833-4CD8-951C-73F6FFA4637D}" id="{6781957A-2C0B-4D7C-8651-A954B7419AE0}">
    <text>Rec No 79</text>
  </threadedComment>
  <threadedComment ref="E97" dT="2025-06-27T13:20:09.78" personId="{8DAE7BBF-E833-4CD8-951C-73F6FFA4637D}" id="{2DE856B9-1A93-46A0-83C0-BFEA4223F4AD}">
    <text>Rec no 79</text>
  </threadedComment>
  <threadedComment ref="E98" dT="2025-06-27T13:20:36.72" personId="{8DAE7BBF-E833-4CD8-951C-73F6FFA4637D}" id="{FC009D14-8931-402F-807A-DE3ECD057D56}">
    <text>REC no 86 and 87</text>
  </threadedComment>
  <threadedComment ref="E99" dT="2025-07-10T08:19:14.74" personId="{8DAE7BBF-E833-4CD8-951C-73F6FFA4637D}" id="{9BBAFE4B-E302-4A94-AF34-2AD061C00F39}">
    <text>79, 80</text>
  </threadedComment>
  <threadedComment ref="E100" dT="2025-07-10T08:20:00.69" personId="{8DAE7BBF-E833-4CD8-951C-73F6FFA4637D}" id="{5C6F36C0-8A1A-4351-BAA0-12B6D5D32023}">
    <text>79, 80</text>
  </threadedComment>
  <threadedComment ref="E101" dT="2025-06-27T13:24:03.50" personId="{8DAE7BBF-E833-4CD8-951C-73F6FFA4637D}" id="{DDA86543-2AA0-4273-A8F3-CA5DE7F180EF}">
    <text>Rec no 18, 19, 21, 22,  27, 28, 30</text>
  </threadedComment>
  <threadedComment ref="E102" dT="2025-07-03T07:42:07.92" personId="{8DAE7BBF-E833-4CD8-951C-73F6FFA4637D}" id="{615F965A-BDE4-4F60-9201-2E7E0D7EF4C9}">
    <text>20 uut piirihaldusametnikku on over achievement</text>
  </threadedComment>
  <threadedComment ref="E116" dT="2025-07-03T08:06:37.37" personId="{8DAE7BBF-E833-4CD8-951C-73F6FFA4637D}" id="{A56FEF3F-E579-4A28-9324-43DA51521E0C}">
    <text>Algselt oli 3, kuid sõrmejäleskännerite soetuse projekt jääb ära.</text>
  </threadedComment>
  <threadedComment ref="E124" dT="2025-06-27T07:53:45.31" personId="{8DAE7BBF-E833-4CD8-951C-73F6FFA4637D}" id="{4341800D-DEE4-4ECA-9C95-A0449D956765}">
    <text>VäMi tegevustoetus</text>
  </threadedComment>
  <threadedComment ref="E130" dT="2025-06-27T14:02:04.04" personId="{8DAE7BBF-E833-4CD8-951C-73F6FFA4637D}" id="{38BA0F1F-4D89-49D2-87F3-2A7E2581F0D9}">
    <text>VIS</text>
  </threadedComment>
  <threadedComment ref="E141" dT="2025-06-27T08:01:46.83" personId="{8DAE7BBF-E833-4CD8-951C-73F6FFA4637D}" id="{8671759D-D5A9-428F-9B46-3FC9A771AF62}">
    <text>Oli 20, aga VäM ei osta seadmeid</text>
  </threadedComment>
  <threadedComment ref="E143" dT="2025-06-28T13:43:12.12" personId="{8DAE7BBF-E833-4CD8-951C-73F6FFA4637D}" id="{A763CAD9-DC4D-46DB-BDDA-B0C223165E6B}">
    <text>Rec no 65, 67, 69, 71, 84, 100</text>
  </threadedComment>
  <threadedComment ref="E144" dT="2025-06-28T13:42:51.42" personId="{8DAE7BBF-E833-4CD8-951C-73F6FFA4637D}" id="{23853B2B-2E5D-4A7D-A8D6-1A3BEF6DCA17}">
    <text>No 56 ja 60</text>
  </threadedComment>
</ThreadedComments>
</file>

<file path=xl/threadedComments/threadedComment2.xml><?xml version="1.0" encoding="utf-8"?>
<ThreadedComments xmlns="http://schemas.microsoft.com/office/spreadsheetml/2018/threadedcomments" xmlns:x="http://schemas.openxmlformats.org/spreadsheetml/2006/main">
  <threadedComment ref="B21" dT="2025-06-27T17:44:08.19" personId="{8DAE7BBF-E833-4CD8-951C-73F6FFA4637D}" id="{A1702E05-08BE-485B-83E9-B19823C4F6A0}">
    <text>I would like to delete this row and incorporate the info under data quality</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51932-9F6A-44DE-A247-0E99F0A9F1FB}">
  <dimension ref="A1:Y80"/>
  <sheetViews>
    <sheetView tabSelected="1" topLeftCell="D15" zoomScale="60" zoomScaleNormal="60" workbookViewId="0">
      <selection activeCell="G16" sqref="G16"/>
    </sheetView>
  </sheetViews>
  <sheetFormatPr defaultColWidth="31.08984375" defaultRowHeight="15.5" x14ac:dyDescent="0.35"/>
  <cols>
    <col min="1" max="1" width="33.54296875" style="5" customWidth="1"/>
    <col min="2" max="2" width="35.6328125" style="5" customWidth="1"/>
    <col min="3" max="5" width="31.08984375" style="5" customWidth="1"/>
    <col min="6" max="7" width="31.08984375" style="5"/>
    <col min="8" max="8" width="18.08984375" style="5" customWidth="1"/>
    <col min="9" max="9" width="31.08984375" style="5" customWidth="1"/>
    <col min="10" max="10" width="17.81640625" style="5" customWidth="1"/>
    <col min="11" max="11" width="24.90625" style="5" customWidth="1"/>
    <col min="12" max="12" width="19.08984375" style="5" customWidth="1"/>
    <col min="13" max="13" width="24.1796875" style="5" customWidth="1"/>
    <col min="14" max="14" width="20.453125" style="5" customWidth="1"/>
    <col min="15" max="15" width="31.08984375" style="5"/>
    <col min="16" max="16" width="17.81640625" style="5" customWidth="1"/>
    <col min="17" max="17" width="16.453125" style="5" customWidth="1"/>
    <col min="18" max="18" width="17.1796875" style="5" customWidth="1"/>
    <col min="19" max="19" width="17.36328125" style="5" customWidth="1"/>
    <col min="20" max="20" width="31.08984375" style="294"/>
    <col min="21" max="21" width="16.81640625" style="294" customWidth="1"/>
    <col min="22" max="22" width="15.54296875" style="294" customWidth="1"/>
    <col min="23" max="23" width="23.54296875" style="294" customWidth="1"/>
    <col min="24" max="16384" width="31.08984375" style="5"/>
  </cols>
  <sheetData>
    <row r="1" spans="1:25" x14ac:dyDescent="0.35">
      <c r="J1" s="8"/>
      <c r="K1" s="8"/>
      <c r="L1" s="8"/>
      <c r="T1" s="293"/>
      <c r="U1" s="293"/>
    </row>
    <row r="2" spans="1:25" ht="21" x14ac:dyDescent="0.5">
      <c r="A2" s="24" t="s">
        <v>74</v>
      </c>
      <c r="I2" s="8"/>
      <c r="J2" s="8"/>
      <c r="K2" s="8"/>
      <c r="M2" s="8"/>
      <c r="N2" s="8"/>
    </row>
    <row r="3" spans="1:25" ht="17" customHeight="1" x14ac:dyDescent="0.5">
      <c r="A3" s="10"/>
      <c r="G3" s="8"/>
      <c r="H3" s="50"/>
      <c r="I3" s="217"/>
      <c r="J3" s="217"/>
      <c r="K3" s="217"/>
      <c r="L3" s="8"/>
      <c r="M3" s="8"/>
      <c r="N3" s="8"/>
      <c r="O3" s="8"/>
      <c r="P3" s="8"/>
      <c r="R3" s="8"/>
      <c r="S3" s="8"/>
      <c r="V3" s="295"/>
    </row>
    <row r="4" spans="1:25" ht="17.5" customHeight="1" x14ac:dyDescent="0.5">
      <c r="A4" s="49">
        <v>45904</v>
      </c>
      <c r="G4" s="8"/>
      <c r="H4" s="7"/>
      <c r="I4" s="7"/>
      <c r="J4" s="7"/>
      <c r="K4" s="7"/>
      <c r="M4" s="8"/>
      <c r="N4" s="8"/>
      <c r="O4" s="8"/>
      <c r="P4" s="8"/>
      <c r="R4" s="8"/>
      <c r="S4" s="8"/>
      <c r="V4" s="295"/>
    </row>
    <row r="5" spans="1:25" ht="90" customHeight="1" x14ac:dyDescent="0.35">
      <c r="A5" s="1" t="s">
        <v>0</v>
      </c>
      <c r="B5" s="1" t="s">
        <v>71</v>
      </c>
      <c r="C5" s="2" t="s">
        <v>60</v>
      </c>
      <c r="D5" s="2" t="s">
        <v>68</v>
      </c>
      <c r="E5" s="2" t="s">
        <v>76</v>
      </c>
      <c r="F5" s="2" t="s">
        <v>61</v>
      </c>
      <c r="G5" s="14" t="s">
        <v>62</v>
      </c>
      <c r="H5" s="2" t="s">
        <v>1</v>
      </c>
      <c r="I5" s="2" t="s">
        <v>40</v>
      </c>
      <c r="J5" s="317" t="s">
        <v>70</v>
      </c>
      <c r="K5" s="318"/>
      <c r="L5" s="319"/>
      <c r="M5" s="2" t="s">
        <v>39</v>
      </c>
      <c r="N5" s="2" t="s">
        <v>42</v>
      </c>
      <c r="O5" s="2" t="s">
        <v>63</v>
      </c>
      <c r="P5" s="2" t="s">
        <v>43</v>
      </c>
      <c r="Q5" s="2" t="s">
        <v>2</v>
      </c>
      <c r="R5" s="2" t="s">
        <v>64</v>
      </c>
      <c r="S5" s="2" t="s">
        <v>65</v>
      </c>
      <c r="T5" s="14" t="s">
        <v>66</v>
      </c>
      <c r="U5" s="14" t="s">
        <v>43</v>
      </c>
      <c r="V5" s="14" t="s">
        <v>33</v>
      </c>
      <c r="W5" s="14" t="s">
        <v>44</v>
      </c>
    </row>
    <row r="6" spans="1:25" ht="49" customHeight="1" x14ac:dyDescent="0.35">
      <c r="A6" s="1"/>
      <c r="B6" s="1"/>
      <c r="C6" s="2"/>
      <c r="D6" s="2"/>
      <c r="E6" s="2"/>
      <c r="F6" s="2"/>
      <c r="G6" s="14"/>
      <c r="H6" s="2"/>
      <c r="I6" s="2"/>
      <c r="J6" s="2" t="s">
        <v>58</v>
      </c>
      <c r="K6" s="2" t="s">
        <v>41</v>
      </c>
      <c r="L6" s="2" t="s">
        <v>69</v>
      </c>
      <c r="M6" s="2"/>
      <c r="N6" s="2"/>
      <c r="O6" s="2"/>
      <c r="P6" s="2"/>
      <c r="Q6" s="2"/>
      <c r="R6" s="2"/>
      <c r="S6" s="2"/>
      <c r="T6" s="14"/>
      <c r="U6" s="14"/>
      <c r="V6" s="14"/>
      <c r="W6" s="14"/>
    </row>
    <row r="7" spans="1:25" ht="48.5" customHeight="1" x14ac:dyDescent="0.35">
      <c r="A7" s="18"/>
      <c r="B7" s="18" t="s">
        <v>72</v>
      </c>
      <c r="C7" s="19"/>
      <c r="D7" s="19"/>
      <c r="E7" s="21"/>
      <c r="F7" s="19"/>
      <c r="G7" s="20" t="s">
        <v>128</v>
      </c>
      <c r="H7" s="20"/>
      <c r="I7" s="241">
        <f>I9+I10+I11+I12+I13+I14+I15+I16+I17+I18+I19+I20+I21+I22+I23+I24+I25+I26+I27+I28+I29+I30+I31+I33+I35+I37+I39+I43+I45+I47+I49+I51+I52+I53</f>
        <v>85154560.75500001</v>
      </c>
      <c r="J7" s="20"/>
      <c r="K7" s="241">
        <f>K9+K10+K11+K12+K13+K14+K15+K16+K17+K18+K19+K20+K21+K22+K23+K24+K25+K26+K27+K28+K29+K30+K31+K33+K35+K37+K39+K43+K45+K47+K49+K51+K52+K53</f>
        <v>17550345.954999998</v>
      </c>
      <c r="L7" s="20"/>
      <c r="M7" s="241">
        <f>M9+M10+M11+M12+M13+M14+M15+M16+M17+M18+M19+M20+M21+M22+M23+M24+M25+M26+M27+M28+M29+M30+M31+M33+M35+M37+M39+M43+M45+M47+M49+M51+M52+M53</f>
        <v>102704906.70999999</v>
      </c>
      <c r="N7" s="20"/>
      <c r="O7" s="20"/>
      <c r="P7" s="20"/>
      <c r="Q7" s="20"/>
      <c r="R7" s="20"/>
      <c r="S7" s="20"/>
      <c r="T7" s="20"/>
      <c r="U7" s="20"/>
      <c r="V7" s="20"/>
      <c r="W7" s="20"/>
    </row>
    <row r="8" spans="1:25" ht="44" customHeight="1" x14ac:dyDescent="0.35">
      <c r="A8" s="25"/>
      <c r="B8" s="25" t="s">
        <v>73</v>
      </c>
      <c r="C8" s="26"/>
      <c r="D8" s="224"/>
      <c r="E8" s="225"/>
      <c r="F8" s="224"/>
      <c r="G8" s="27" t="s">
        <v>73</v>
      </c>
      <c r="H8" s="242"/>
      <c r="I8" s="243">
        <v>30527834.91</v>
      </c>
      <c r="J8" s="244"/>
      <c r="K8" s="243">
        <v>10175944.970000001</v>
      </c>
      <c r="L8" s="242"/>
      <c r="M8" s="225">
        <v>40703779.880000003</v>
      </c>
      <c r="N8" s="245"/>
      <c r="O8" s="224"/>
      <c r="P8" s="224"/>
      <c r="Q8" s="224"/>
      <c r="R8" s="224"/>
      <c r="S8" s="224"/>
      <c r="T8" s="224"/>
      <c r="U8" s="224"/>
      <c r="V8" s="224"/>
      <c r="W8" s="224"/>
    </row>
    <row r="9" spans="1:25" ht="67" customHeight="1" x14ac:dyDescent="0.35">
      <c r="A9" s="308" t="s">
        <v>103</v>
      </c>
      <c r="B9" s="308" t="s">
        <v>5</v>
      </c>
      <c r="C9" s="308" t="s">
        <v>6</v>
      </c>
      <c r="D9" s="323" t="s">
        <v>45</v>
      </c>
      <c r="E9" s="332">
        <f>SUM(M9:M20)</f>
        <v>36989485.689999998</v>
      </c>
      <c r="F9" s="226" t="s">
        <v>12</v>
      </c>
      <c r="G9" s="125" t="s">
        <v>517</v>
      </c>
      <c r="H9" s="246">
        <v>0.75</v>
      </c>
      <c r="I9" s="30">
        <f>M9*H9</f>
        <v>2250524.9625000004</v>
      </c>
      <c r="J9" s="247">
        <v>0.25</v>
      </c>
      <c r="K9" s="248">
        <f>M9*J9</f>
        <v>750174.98750000005</v>
      </c>
      <c r="L9" s="249">
        <v>0</v>
      </c>
      <c r="M9" s="250">
        <v>3000699.95</v>
      </c>
      <c r="N9" s="251" t="s">
        <v>3</v>
      </c>
      <c r="O9" s="226" t="s">
        <v>27</v>
      </c>
      <c r="P9" s="252" t="s">
        <v>50</v>
      </c>
      <c r="Q9" s="28">
        <v>0</v>
      </c>
      <c r="R9" s="28">
        <v>200</v>
      </c>
      <c r="S9" s="28">
        <v>1000</v>
      </c>
      <c r="T9" s="296" t="s">
        <v>48</v>
      </c>
      <c r="U9" s="296" t="s">
        <v>50</v>
      </c>
      <c r="V9" s="16" t="s">
        <v>48</v>
      </c>
      <c r="W9" s="16" t="s">
        <v>48</v>
      </c>
    </row>
    <row r="10" spans="1:25" ht="104" customHeight="1" x14ac:dyDescent="0.35">
      <c r="A10" s="309"/>
      <c r="B10" s="309"/>
      <c r="C10" s="309"/>
      <c r="D10" s="324"/>
      <c r="E10" s="333"/>
      <c r="F10" s="226" t="s">
        <v>34</v>
      </c>
      <c r="G10" s="125" t="s">
        <v>51</v>
      </c>
      <c r="H10" s="246">
        <v>0.75</v>
      </c>
      <c r="I10" s="30">
        <f>H10*M10</f>
        <v>143692.9425</v>
      </c>
      <c r="J10" s="247">
        <v>0.25</v>
      </c>
      <c r="K10" s="248">
        <f>M10*J10</f>
        <v>47897.647499999999</v>
      </c>
      <c r="L10" s="249">
        <v>0</v>
      </c>
      <c r="M10" s="250">
        <f>191597.04-6.45</f>
        <v>191590.59</v>
      </c>
      <c r="N10" s="251" t="s">
        <v>3</v>
      </c>
      <c r="O10" s="226" t="s">
        <v>35</v>
      </c>
      <c r="P10" s="252" t="s">
        <v>50</v>
      </c>
      <c r="Q10" s="28">
        <v>0</v>
      </c>
      <c r="R10" s="28">
        <v>26</v>
      </c>
      <c r="S10" s="28">
        <v>26</v>
      </c>
      <c r="T10" s="297" t="s">
        <v>29</v>
      </c>
      <c r="U10" s="296" t="s">
        <v>50</v>
      </c>
      <c r="V10" s="16">
        <v>0</v>
      </c>
      <c r="W10" s="16" t="s">
        <v>36</v>
      </c>
    </row>
    <row r="11" spans="1:25" ht="80.25" customHeight="1" x14ac:dyDescent="0.35">
      <c r="A11" s="309"/>
      <c r="B11" s="309"/>
      <c r="C11" s="309"/>
      <c r="D11" s="324"/>
      <c r="E11" s="333"/>
      <c r="F11" s="226" t="s">
        <v>13</v>
      </c>
      <c r="G11" s="125" t="s">
        <v>506</v>
      </c>
      <c r="H11" s="246">
        <v>0.75</v>
      </c>
      <c r="I11" s="30">
        <f>M11*H11</f>
        <v>6086393.5800000001</v>
      </c>
      <c r="J11" s="247">
        <v>0.25</v>
      </c>
      <c r="K11" s="248">
        <f>M11*J11</f>
        <v>2028797.86</v>
      </c>
      <c r="L11" s="249">
        <v>0</v>
      </c>
      <c r="M11" s="250">
        <v>8115191.4400000004</v>
      </c>
      <c r="N11" s="251" t="s">
        <v>3</v>
      </c>
      <c r="O11" s="226" t="s">
        <v>27</v>
      </c>
      <c r="P11" s="252" t="s">
        <v>50</v>
      </c>
      <c r="Q11" s="28">
        <v>0</v>
      </c>
      <c r="R11" s="28">
        <v>44</v>
      </c>
      <c r="S11" s="28">
        <v>86</v>
      </c>
      <c r="T11" s="297" t="s">
        <v>135</v>
      </c>
      <c r="U11" s="296" t="s">
        <v>50</v>
      </c>
      <c r="V11" s="16">
        <v>0</v>
      </c>
      <c r="W11" s="16">
        <v>1</v>
      </c>
    </row>
    <row r="12" spans="1:25" ht="80.25" customHeight="1" x14ac:dyDescent="0.35">
      <c r="A12" s="309"/>
      <c r="B12" s="309"/>
      <c r="C12" s="309"/>
      <c r="D12" s="324"/>
      <c r="E12" s="333"/>
      <c r="F12" s="226" t="s">
        <v>13</v>
      </c>
      <c r="G12" s="125" t="s">
        <v>507</v>
      </c>
      <c r="H12" s="246">
        <v>0.75</v>
      </c>
      <c r="I12" s="30">
        <f t="shared" ref="I12:I27" si="0">M12*H12</f>
        <v>6872382.5099999998</v>
      </c>
      <c r="J12" s="247">
        <v>0.25</v>
      </c>
      <c r="K12" s="248">
        <f t="shared" ref="K12:K27" si="1">M12*J12</f>
        <v>2290794.17</v>
      </c>
      <c r="L12" s="249">
        <v>0</v>
      </c>
      <c r="M12" s="250">
        <v>9163176.6799999997</v>
      </c>
      <c r="N12" s="251" t="s">
        <v>3</v>
      </c>
      <c r="O12" s="226" t="s">
        <v>27</v>
      </c>
      <c r="P12" s="252" t="s">
        <v>50</v>
      </c>
      <c r="Q12" s="28">
        <v>0</v>
      </c>
      <c r="R12" s="28">
        <v>54</v>
      </c>
      <c r="S12" s="28">
        <v>155</v>
      </c>
      <c r="T12" s="297" t="s">
        <v>135</v>
      </c>
      <c r="U12" s="296" t="s">
        <v>50</v>
      </c>
      <c r="V12" s="16">
        <v>0</v>
      </c>
      <c r="W12" s="16">
        <v>1</v>
      </c>
    </row>
    <row r="13" spans="1:25" ht="80.25" customHeight="1" x14ac:dyDescent="0.35">
      <c r="A13" s="309"/>
      <c r="B13" s="309"/>
      <c r="C13" s="309"/>
      <c r="D13" s="324"/>
      <c r="E13" s="333"/>
      <c r="F13" s="226" t="s">
        <v>13</v>
      </c>
      <c r="G13" s="125" t="s">
        <v>508</v>
      </c>
      <c r="H13" s="246">
        <v>0.75</v>
      </c>
      <c r="I13" s="30">
        <f>M13*H13</f>
        <v>2428792.3425000003</v>
      </c>
      <c r="J13" s="247">
        <v>0.25</v>
      </c>
      <c r="K13" s="248">
        <f>M13*J13</f>
        <v>809597.44750000001</v>
      </c>
      <c r="L13" s="249">
        <v>0</v>
      </c>
      <c r="M13" s="250">
        <v>3238389.79</v>
      </c>
      <c r="N13" s="251" t="s">
        <v>3</v>
      </c>
      <c r="O13" s="226" t="s">
        <v>27</v>
      </c>
      <c r="P13" s="252" t="s">
        <v>50</v>
      </c>
      <c r="Q13" s="28">
        <v>0</v>
      </c>
      <c r="R13" s="28">
        <v>0</v>
      </c>
      <c r="S13" s="28">
        <v>21</v>
      </c>
      <c r="T13" s="297" t="s">
        <v>137</v>
      </c>
      <c r="U13" s="296" t="s">
        <v>50</v>
      </c>
      <c r="V13" s="16">
        <v>0</v>
      </c>
      <c r="W13" s="16">
        <v>1</v>
      </c>
    </row>
    <row r="14" spans="1:25" ht="96" customHeight="1" x14ac:dyDescent="0.35">
      <c r="A14" s="309"/>
      <c r="B14" s="309"/>
      <c r="C14" s="309"/>
      <c r="D14" s="324"/>
      <c r="E14" s="333"/>
      <c r="F14" s="227" t="s">
        <v>13</v>
      </c>
      <c r="G14" s="126" t="s">
        <v>518</v>
      </c>
      <c r="H14" s="246">
        <v>0.75</v>
      </c>
      <c r="I14" s="30">
        <f t="shared" si="0"/>
        <v>749925</v>
      </c>
      <c r="J14" s="247">
        <v>0.25</v>
      </c>
      <c r="K14" s="248">
        <f t="shared" si="1"/>
        <v>249975</v>
      </c>
      <c r="L14" s="249">
        <v>0</v>
      </c>
      <c r="M14" s="250">
        <v>999900</v>
      </c>
      <c r="N14" s="251" t="s">
        <v>3</v>
      </c>
      <c r="O14" s="227" t="s">
        <v>28</v>
      </c>
      <c r="P14" s="252" t="s">
        <v>50</v>
      </c>
      <c r="Q14" s="28">
        <v>0</v>
      </c>
      <c r="R14" s="28">
        <v>0</v>
      </c>
      <c r="S14" s="28">
        <f>13</f>
        <v>13</v>
      </c>
      <c r="T14" s="227" t="s">
        <v>29</v>
      </c>
      <c r="U14" s="296" t="s">
        <v>50</v>
      </c>
      <c r="V14" s="16">
        <v>0</v>
      </c>
      <c r="W14" s="28" t="s">
        <v>89</v>
      </c>
      <c r="Y14" s="8"/>
    </row>
    <row r="15" spans="1:25" ht="96" customHeight="1" x14ac:dyDescent="0.35">
      <c r="A15" s="309"/>
      <c r="B15" s="309"/>
      <c r="C15" s="309"/>
      <c r="D15" s="324"/>
      <c r="E15" s="333"/>
      <c r="F15" s="226" t="s">
        <v>13</v>
      </c>
      <c r="G15" s="126" t="s">
        <v>112</v>
      </c>
      <c r="H15" s="246">
        <v>0.75</v>
      </c>
      <c r="I15" s="30">
        <f t="shared" si="0"/>
        <v>453435.4425</v>
      </c>
      <c r="J15" s="247">
        <v>0.25</v>
      </c>
      <c r="K15" s="248">
        <f t="shared" si="1"/>
        <v>151145.14749999999</v>
      </c>
      <c r="L15" s="249">
        <v>0</v>
      </c>
      <c r="M15" s="250">
        <f>557185.11+47395.48</f>
        <v>604580.59</v>
      </c>
      <c r="N15" s="251" t="s">
        <v>3</v>
      </c>
      <c r="O15" s="226" t="s">
        <v>27</v>
      </c>
      <c r="P15" s="252" t="s">
        <v>50</v>
      </c>
      <c r="Q15" s="28">
        <v>0</v>
      </c>
      <c r="R15" s="28">
        <v>0</v>
      </c>
      <c r="S15" s="28">
        <v>59</v>
      </c>
      <c r="T15" s="28" t="s">
        <v>48</v>
      </c>
      <c r="U15" s="296" t="s">
        <v>50</v>
      </c>
      <c r="V15" s="16" t="s">
        <v>48</v>
      </c>
      <c r="W15" s="28" t="s">
        <v>48</v>
      </c>
      <c r="Y15" s="8"/>
    </row>
    <row r="16" spans="1:25" ht="96" customHeight="1" x14ac:dyDescent="0.35">
      <c r="A16" s="309"/>
      <c r="B16" s="309"/>
      <c r="C16" s="309"/>
      <c r="D16" s="324"/>
      <c r="E16" s="333"/>
      <c r="F16" s="228" t="s">
        <v>31</v>
      </c>
      <c r="G16" s="126" t="s">
        <v>769</v>
      </c>
      <c r="H16" s="246">
        <v>0.75</v>
      </c>
      <c r="I16" s="30">
        <f t="shared" si="0"/>
        <v>180512.25</v>
      </c>
      <c r="J16" s="247">
        <v>0.25</v>
      </c>
      <c r="K16" s="248">
        <f t="shared" si="1"/>
        <v>60170.75</v>
      </c>
      <c r="L16" s="249">
        <v>0</v>
      </c>
      <c r="M16" s="250">
        <v>240683</v>
      </c>
      <c r="N16" s="251" t="s">
        <v>3</v>
      </c>
      <c r="O16" s="228" t="s">
        <v>32</v>
      </c>
      <c r="P16" s="28" t="s">
        <v>50</v>
      </c>
      <c r="Q16" s="28">
        <v>0</v>
      </c>
      <c r="R16" s="28">
        <v>0</v>
      </c>
      <c r="S16" s="28">
        <v>1</v>
      </c>
      <c r="T16" s="28" t="s">
        <v>48</v>
      </c>
      <c r="U16" s="296" t="s">
        <v>50</v>
      </c>
      <c r="V16" s="16" t="s">
        <v>48</v>
      </c>
      <c r="W16" s="28" t="s">
        <v>48</v>
      </c>
      <c r="Y16" s="8"/>
    </row>
    <row r="17" spans="1:25" ht="110.25" customHeight="1" x14ac:dyDescent="0.35">
      <c r="A17" s="309"/>
      <c r="B17" s="309"/>
      <c r="C17" s="309"/>
      <c r="D17" s="324"/>
      <c r="E17" s="333"/>
      <c r="F17" s="228" t="s">
        <v>31</v>
      </c>
      <c r="G17" s="126" t="s">
        <v>104</v>
      </c>
      <c r="H17" s="246">
        <v>0.75</v>
      </c>
      <c r="I17" s="30">
        <f t="shared" si="0"/>
        <v>219194.535</v>
      </c>
      <c r="J17" s="247">
        <v>0.25</v>
      </c>
      <c r="K17" s="248">
        <f t="shared" si="1"/>
        <v>73064.845000000001</v>
      </c>
      <c r="L17" s="249">
        <v>0</v>
      </c>
      <c r="M17" s="250">
        <f>1137522.97-797868.11-47395.48</f>
        <v>292259.38</v>
      </c>
      <c r="N17" s="251" t="s">
        <v>3</v>
      </c>
      <c r="O17" s="228" t="s">
        <v>32</v>
      </c>
      <c r="P17" s="28" t="s">
        <v>50</v>
      </c>
      <c r="Q17" s="28">
        <v>0</v>
      </c>
      <c r="R17" s="28">
        <v>0</v>
      </c>
      <c r="S17" s="28">
        <v>1</v>
      </c>
      <c r="T17" s="28" t="s">
        <v>48</v>
      </c>
      <c r="U17" s="296" t="s">
        <v>50</v>
      </c>
      <c r="V17" s="16" t="s">
        <v>48</v>
      </c>
      <c r="W17" s="28" t="s">
        <v>48</v>
      </c>
      <c r="Y17" s="8"/>
    </row>
    <row r="18" spans="1:25" ht="101.25" customHeight="1" x14ac:dyDescent="0.35">
      <c r="A18" s="309"/>
      <c r="B18" s="309"/>
      <c r="C18" s="309"/>
      <c r="D18" s="324"/>
      <c r="E18" s="333"/>
      <c r="F18" s="227" t="s">
        <v>14</v>
      </c>
      <c r="G18" s="126" t="s">
        <v>512</v>
      </c>
      <c r="H18" s="246">
        <v>0.75</v>
      </c>
      <c r="I18" s="30">
        <f t="shared" si="0"/>
        <v>860529.14999999991</v>
      </c>
      <c r="J18" s="253">
        <v>0.25</v>
      </c>
      <c r="K18" s="254">
        <f t="shared" si="1"/>
        <v>286843.05</v>
      </c>
      <c r="L18" s="249">
        <v>0</v>
      </c>
      <c r="M18" s="250">
        <f>1123670.27+16043.8+7658.13</f>
        <v>1147372.2</v>
      </c>
      <c r="N18" s="251" t="s">
        <v>3</v>
      </c>
      <c r="O18" s="227" t="s">
        <v>85</v>
      </c>
      <c r="P18" s="252" t="s">
        <v>50</v>
      </c>
      <c r="Q18" s="255">
        <v>0</v>
      </c>
      <c r="R18" s="255" t="s">
        <v>90</v>
      </c>
      <c r="S18" s="255" t="s">
        <v>91</v>
      </c>
      <c r="T18" s="227" t="s">
        <v>26</v>
      </c>
      <c r="U18" s="296" t="s">
        <v>50</v>
      </c>
      <c r="V18" s="16">
        <v>0</v>
      </c>
      <c r="W18" s="31">
        <v>4</v>
      </c>
    </row>
    <row r="19" spans="1:25" ht="89.25" customHeight="1" x14ac:dyDescent="0.35">
      <c r="A19" s="309"/>
      <c r="B19" s="309"/>
      <c r="C19" s="309"/>
      <c r="D19" s="324"/>
      <c r="E19" s="333"/>
      <c r="F19" s="227" t="s">
        <v>14</v>
      </c>
      <c r="G19" s="126" t="s">
        <v>513</v>
      </c>
      <c r="H19" s="246">
        <v>0.75</v>
      </c>
      <c r="I19" s="30">
        <f t="shared" si="0"/>
        <v>3791058.8025000002</v>
      </c>
      <c r="J19" s="253">
        <v>0.25</v>
      </c>
      <c r="K19" s="254">
        <f t="shared" si="1"/>
        <v>1263686.2675000001</v>
      </c>
      <c r="L19" s="249">
        <v>0</v>
      </c>
      <c r="M19" s="250">
        <f>5078447-16043.8-7658.13</f>
        <v>5054745.07</v>
      </c>
      <c r="N19" s="251" t="s">
        <v>3</v>
      </c>
      <c r="O19" s="227" t="s">
        <v>37</v>
      </c>
      <c r="P19" s="252" t="s">
        <v>50</v>
      </c>
      <c r="Q19" s="255">
        <v>0</v>
      </c>
      <c r="R19" s="255">
        <v>1</v>
      </c>
      <c r="S19" s="255">
        <v>1</v>
      </c>
      <c r="T19" s="28" t="s">
        <v>48</v>
      </c>
      <c r="U19" s="296" t="s">
        <v>50</v>
      </c>
      <c r="V19" s="16" t="s">
        <v>48</v>
      </c>
      <c r="W19" s="31" t="s">
        <v>48</v>
      </c>
    </row>
    <row r="20" spans="1:25" ht="131" customHeight="1" x14ac:dyDescent="0.35">
      <c r="A20" s="309"/>
      <c r="B20" s="309"/>
      <c r="C20" s="310"/>
      <c r="D20" s="325"/>
      <c r="E20" s="334"/>
      <c r="F20" s="227" t="s">
        <v>14</v>
      </c>
      <c r="G20" s="124" t="s">
        <v>532</v>
      </c>
      <c r="H20" s="246">
        <v>0.75</v>
      </c>
      <c r="I20" s="30">
        <f t="shared" si="0"/>
        <v>3705672.75</v>
      </c>
      <c r="J20" s="247">
        <v>0.25</v>
      </c>
      <c r="K20" s="248">
        <f t="shared" si="1"/>
        <v>1235224.25</v>
      </c>
      <c r="L20" s="249">
        <v>0</v>
      </c>
      <c r="M20" s="250">
        <f>1940897+3000000</f>
        <v>4940897</v>
      </c>
      <c r="N20" s="251" t="s">
        <v>3</v>
      </c>
      <c r="O20" s="227" t="s">
        <v>138</v>
      </c>
      <c r="P20" s="252" t="s">
        <v>50</v>
      </c>
      <c r="Q20" s="16">
        <v>0</v>
      </c>
      <c r="R20" s="16">
        <v>18</v>
      </c>
      <c r="S20" s="16">
        <v>20</v>
      </c>
      <c r="T20" s="227" t="s">
        <v>761</v>
      </c>
      <c r="U20" s="296" t="s">
        <v>50</v>
      </c>
      <c r="V20" s="31">
        <v>0</v>
      </c>
      <c r="W20" s="29" t="s">
        <v>762</v>
      </c>
    </row>
    <row r="21" spans="1:25" ht="150.5" customHeight="1" x14ac:dyDescent="0.35">
      <c r="A21" s="309"/>
      <c r="B21" s="309"/>
      <c r="C21" s="320" t="s">
        <v>10</v>
      </c>
      <c r="D21" s="323" t="s">
        <v>47</v>
      </c>
      <c r="E21" s="326">
        <f>SUM(M21:M27)</f>
        <v>10042882.870000001</v>
      </c>
      <c r="F21" s="4" t="s">
        <v>16</v>
      </c>
      <c r="G21" s="124" t="s">
        <v>509</v>
      </c>
      <c r="H21" s="246">
        <v>0.75</v>
      </c>
      <c r="I21" s="30">
        <f t="shared" si="0"/>
        <v>1496592.75</v>
      </c>
      <c r="J21" s="247">
        <v>0.25</v>
      </c>
      <c r="K21" s="248">
        <f t="shared" si="1"/>
        <v>498864.25</v>
      </c>
      <c r="L21" s="16">
        <v>0</v>
      </c>
      <c r="M21" s="30">
        <f>1280000+535457+180000</f>
        <v>1995457</v>
      </c>
      <c r="N21" s="30" t="s">
        <v>3</v>
      </c>
      <c r="O21" s="227" t="s">
        <v>763</v>
      </c>
      <c r="P21" s="28" t="s">
        <v>50</v>
      </c>
      <c r="Q21" s="16">
        <v>0</v>
      </c>
      <c r="R21" s="28" t="s">
        <v>764</v>
      </c>
      <c r="S21" s="28" t="s">
        <v>765</v>
      </c>
      <c r="T21" s="227" t="s">
        <v>137</v>
      </c>
      <c r="U21" s="28" t="s">
        <v>50</v>
      </c>
      <c r="V21" s="28">
        <v>0</v>
      </c>
      <c r="W21" s="31">
        <v>7</v>
      </c>
    </row>
    <row r="22" spans="1:25" ht="124" x14ac:dyDescent="0.35">
      <c r="A22" s="309"/>
      <c r="B22" s="309"/>
      <c r="C22" s="321"/>
      <c r="D22" s="324"/>
      <c r="E22" s="327"/>
      <c r="F22" s="4" t="s">
        <v>17</v>
      </c>
      <c r="G22" s="127" t="s">
        <v>510</v>
      </c>
      <c r="H22" s="246">
        <v>0.75</v>
      </c>
      <c r="I22" s="30">
        <f t="shared" si="0"/>
        <v>3015000</v>
      </c>
      <c r="J22" s="247">
        <v>0.25</v>
      </c>
      <c r="K22" s="248">
        <f t="shared" si="1"/>
        <v>1005000</v>
      </c>
      <c r="L22" s="16">
        <v>0</v>
      </c>
      <c r="M22" s="30">
        <v>4020000</v>
      </c>
      <c r="N22" s="30" t="s">
        <v>3</v>
      </c>
      <c r="O22" s="4" t="s">
        <v>766</v>
      </c>
      <c r="P22" s="28" t="s">
        <v>50</v>
      </c>
      <c r="Q22" s="16">
        <v>0</v>
      </c>
      <c r="R22" s="31" t="s">
        <v>97</v>
      </c>
      <c r="S22" s="31" t="s">
        <v>97</v>
      </c>
      <c r="T22" s="28" t="s">
        <v>48</v>
      </c>
      <c r="U22" s="28" t="s">
        <v>50</v>
      </c>
      <c r="V22" s="28" t="s">
        <v>48</v>
      </c>
      <c r="W22" s="246" t="s">
        <v>48</v>
      </c>
    </row>
    <row r="23" spans="1:25" ht="90.75" customHeight="1" x14ac:dyDescent="0.35">
      <c r="A23" s="309"/>
      <c r="B23" s="309"/>
      <c r="C23" s="321"/>
      <c r="D23" s="324"/>
      <c r="E23" s="327"/>
      <c r="F23" s="4" t="s">
        <v>18</v>
      </c>
      <c r="G23" s="124" t="s">
        <v>514</v>
      </c>
      <c r="H23" s="246">
        <v>0.75</v>
      </c>
      <c r="I23" s="30">
        <f t="shared" si="0"/>
        <v>471183.75</v>
      </c>
      <c r="J23" s="247">
        <v>0.25</v>
      </c>
      <c r="K23" s="248">
        <f t="shared" si="1"/>
        <v>157061.25</v>
      </c>
      <c r="L23" s="16">
        <v>0</v>
      </c>
      <c r="M23" s="30">
        <v>628245</v>
      </c>
      <c r="N23" s="30" t="s">
        <v>49</v>
      </c>
      <c r="O23" s="227" t="s">
        <v>24</v>
      </c>
      <c r="P23" s="28" t="s">
        <v>50</v>
      </c>
      <c r="Q23" s="16">
        <v>0</v>
      </c>
      <c r="R23" s="16">
        <v>4</v>
      </c>
      <c r="S23" s="28">
        <v>4</v>
      </c>
      <c r="T23" s="28" t="s">
        <v>48</v>
      </c>
      <c r="U23" s="28" t="s">
        <v>50</v>
      </c>
      <c r="V23" s="28" t="s">
        <v>48</v>
      </c>
      <c r="W23" s="246" t="s">
        <v>48</v>
      </c>
    </row>
    <row r="24" spans="1:25" ht="94.5" customHeight="1" x14ac:dyDescent="0.35">
      <c r="A24" s="309"/>
      <c r="B24" s="309"/>
      <c r="C24" s="321"/>
      <c r="D24" s="324"/>
      <c r="E24" s="327"/>
      <c r="F24" s="4" t="s">
        <v>119</v>
      </c>
      <c r="G24" s="124" t="s">
        <v>515</v>
      </c>
      <c r="H24" s="246">
        <v>0.75</v>
      </c>
      <c r="I24" s="30">
        <f t="shared" si="0"/>
        <v>411885.65249999997</v>
      </c>
      <c r="J24" s="247">
        <v>0.25</v>
      </c>
      <c r="K24" s="248">
        <f t="shared" si="1"/>
        <v>137295.2175</v>
      </c>
      <c r="L24" s="16">
        <v>0</v>
      </c>
      <c r="M24" s="30">
        <f>450000+99180.87</f>
        <v>549180.87</v>
      </c>
      <c r="N24" s="30" t="s">
        <v>3</v>
      </c>
      <c r="O24" s="227" t="s">
        <v>24</v>
      </c>
      <c r="P24" s="28" t="s">
        <v>50</v>
      </c>
      <c r="Q24" s="16">
        <v>0</v>
      </c>
      <c r="R24" s="16">
        <v>1</v>
      </c>
      <c r="S24" s="28">
        <v>1</v>
      </c>
      <c r="T24" s="28" t="s">
        <v>48</v>
      </c>
      <c r="U24" s="28" t="s">
        <v>50</v>
      </c>
      <c r="V24" s="28" t="s">
        <v>48</v>
      </c>
      <c r="W24" s="246" t="s">
        <v>48</v>
      </c>
    </row>
    <row r="25" spans="1:25" ht="94.5" customHeight="1" x14ac:dyDescent="0.35">
      <c r="A25" s="309"/>
      <c r="B25" s="309"/>
      <c r="C25" s="321"/>
      <c r="D25" s="324"/>
      <c r="E25" s="327"/>
      <c r="F25" s="4" t="s">
        <v>480</v>
      </c>
      <c r="G25" s="124" t="s">
        <v>516</v>
      </c>
      <c r="H25" s="246">
        <v>0.75</v>
      </c>
      <c r="I25" s="30">
        <f>M25*H25</f>
        <v>750000</v>
      </c>
      <c r="J25" s="247">
        <v>0.25</v>
      </c>
      <c r="K25" s="248">
        <f>M25*J25</f>
        <v>250000</v>
      </c>
      <c r="L25" s="16">
        <v>0</v>
      </c>
      <c r="M25" s="30">
        <v>1000000</v>
      </c>
      <c r="N25" s="30"/>
      <c r="O25" s="227" t="s">
        <v>24</v>
      </c>
      <c r="P25" s="28" t="s">
        <v>50</v>
      </c>
      <c r="Q25" s="16">
        <v>0</v>
      </c>
      <c r="R25" s="16">
        <v>1</v>
      </c>
      <c r="S25" s="28">
        <v>1</v>
      </c>
      <c r="T25" s="28" t="s">
        <v>48</v>
      </c>
      <c r="U25" s="28" t="s">
        <v>50</v>
      </c>
      <c r="V25" s="28" t="s">
        <v>48</v>
      </c>
      <c r="W25" s="246" t="s">
        <v>48</v>
      </c>
    </row>
    <row r="26" spans="1:25" ht="114" customHeight="1" x14ac:dyDescent="0.35">
      <c r="A26" s="309"/>
      <c r="B26" s="309"/>
      <c r="C26" s="321"/>
      <c r="D26" s="324"/>
      <c r="E26" s="327"/>
      <c r="F26" s="4" t="s">
        <v>18</v>
      </c>
      <c r="G26" s="124" t="s">
        <v>519</v>
      </c>
      <c r="H26" s="246">
        <v>0.75</v>
      </c>
      <c r="I26" s="30">
        <f t="shared" si="0"/>
        <v>975000</v>
      </c>
      <c r="J26" s="247">
        <v>0.25</v>
      </c>
      <c r="K26" s="248">
        <f t="shared" si="1"/>
        <v>325000</v>
      </c>
      <c r="L26" s="16">
        <v>0</v>
      </c>
      <c r="M26" s="30">
        <v>1300000</v>
      </c>
      <c r="N26" s="30" t="s">
        <v>3</v>
      </c>
      <c r="O26" s="227" t="s">
        <v>767</v>
      </c>
      <c r="P26" s="28" t="s">
        <v>50</v>
      </c>
      <c r="Q26" s="16">
        <v>0</v>
      </c>
      <c r="R26" s="16" t="s">
        <v>768</v>
      </c>
      <c r="S26" s="28" t="s">
        <v>768</v>
      </c>
      <c r="T26" s="28" t="s">
        <v>48</v>
      </c>
      <c r="U26" s="28" t="s">
        <v>50</v>
      </c>
      <c r="V26" s="28" t="s">
        <v>48</v>
      </c>
      <c r="W26" s="246" t="s">
        <v>48</v>
      </c>
    </row>
    <row r="27" spans="1:25" ht="96.75" customHeight="1" x14ac:dyDescent="0.35">
      <c r="A27" s="309"/>
      <c r="B27" s="309"/>
      <c r="C27" s="322"/>
      <c r="D27" s="325"/>
      <c r="E27" s="328"/>
      <c r="F27" s="4" t="s">
        <v>18</v>
      </c>
      <c r="G27" s="124" t="s">
        <v>520</v>
      </c>
      <c r="H27" s="246">
        <v>0.75</v>
      </c>
      <c r="I27" s="30">
        <f t="shared" si="0"/>
        <v>412500</v>
      </c>
      <c r="J27" s="247">
        <v>0.25</v>
      </c>
      <c r="K27" s="248">
        <f t="shared" si="1"/>
        <v>137500</v>
      </c>
      <c r="L27" s="16">
        <v>0</v>
      </c>
      <c r="M27" s="30">
        <v>550000</v>
      </c>
      <c r="N27" s="30" t="s">
        <v>49</v>
      </c>
      <c r="O27" s="227" t="s">
        <v>24</v>
      </c>
      <c r="P27" s="28" t="s">
        <v>50</v>
      </c>
      <c r="Q27" s="16">
        <v>0</v>
      </c>
      <c r="R27" s="16">
        <v>3</v>
      </c>
      <c r="S27" s="28">
        <v>4</v>
      </c>
      <c r="T27" s="28" t="s">
        <v>48</v>
      </c>
      <c r="U27" s="28" t="s">
        <v>50</v>
      </c>
      <c r="V27" s="28" t="s">
        <v>48</v>
      </c>
      <c r="W27" s="246" t="s">
        <v>48</v>
      </c>
    </row>
    <row r="28" spans="1:25" ht="225.5" customHeight="1" x14ac:dyDescent="0.35">
      <c r="A28" s="309"/>
      <c r="B28" s="309"/>
      <c r="C28" s="9" t="s">
        <v>7</v>
      </c>
      <c r="D28" s="323" t="s">
        <v>46</v>
      </c>
      <c r="E28" s="326">
        <f>SUM(M28:M31)</f>
        <v>1500000</v>
      </c>
      <c r="F28" s="4" t="s">
        <v>15</v>
      </c>
      <c r="G28" s="124" t="s">
        <v>521</v>
      </c>
      <c r="H28" s="246">
        <v>0.75</v>
      </c>
      <c r="I28" s="30">
        <f>M28*H28</f>
        <v>300000</v>
      </c>
      <c r="J28" s="247">
        <v>0.25</v>
      </c>
      <c r="K28" s="248">
        <f>M28*J28</f>
        <v>100000</v>
      </c>
      <c r="L28" s="249">
        <v>0</v>
      </c>
      <c r="M28" s="30">
        <v>400000</v>
      </c>
      <c r="N28" s="30" t="s">
        <v>3</v>
      </c>
      <c r="O28" s="4" t="s">
        <v>82</v>
      </c>
      <c r="P28" s="28" t="s">
        <v>50</v>
      </c>
      <c r="Q28" s="16">
        <v>0</v>
      </c>
      <c r="R28" s="16" t="s">
        <v>92</v>
      </c>
      <c r="S28" s="16" t="s">
        <v>93</v>
      </c>
      <c r="T28" s="227" t="s">
        <v>26</v>
      </c>
      <c r="U28" s="28" t="s">
        <v>50</v>
      </c>
      <c r="V28" s="31">
        <v>0</v>
      </c>
      <c r="W28" s="31">
        <v>20</v>
      </c>
    </row>
    <row r="29" spans="1:25" ht="168.5" customHeight="1" x14ac:dyDescent="0.35">
      <c r="A29" s="309"/>
      <c r="B29" s="309"/>
      <c r="C29" s="9" t="s">
        <v>8</v>
      </c>
      <c r="D29" s="324"/>
      <c r="E29" s="327"/>
      <c r="F29" s="4" t="s">
        <v>533</v>
      </c>
      <c r="G29" s="124" t="s">
        <v>511</v>
      </c>
      <c r="H29" s="246">
        <v>0.75</v>
      </c>
      <c r="I29" s="30">
        <f t="shared" ref="I29:I31" si="2">M29*H29</f>
        <v>300000</v>
      </c>
      <c r="J29" s="247">
        <v>0.25</v>
      </c>
      <c r="K29" s="248">
        <f t="shared" ref="K29:K31" si="3">M29*J29</f>
        <v>100000</v>
      </c>
      <c r="L29" s="249">
        <v>0</v>
      </c>
      <c r="M29" s="30">
        <v>400000</v>
      </c>
      <c r="N29" s="30" t="s">
        <v>3</v>
      </c>
      <c r="O29" s="227" t="s">
        <v>23</v>
      </c>
      <c r="P29" s="28" t="s">
        <v>50</v>
      </c>
      <c r="Q29" s="16">
        <v>0</v>
      </c>
      <c r="R29" s="16">
        <v>0</v>
      </c>
      <c r="S29" s="29">
        <v>1</v>
      </c>
      <c r="T29" s="16" t="s">
        <v>48</v>
      </c>
      <c r="U29" s="28" t="s">
        <v>50</v>
      </c>
      <c r="V29" s="16" t="s">
        <v>48</v>
      </c>
      <c r="W29" s="16" t="s">
        <v>48</v>
      </c>
    </row>
    <row r="30" spans="1:25" ht="122.5" customHeight="1" x14ac:dyDescent="0.35">
      <c r="A30" s="309"/>
      <c r="B30" s="309"/>
      <c r="C30" s="320" t="s">
        <v>9</v>
      </c>
      <c r="D30" s="324"/>
      <c r="E30" s="327"/>
      <c r="F30" s="227" t="s">
        <v>12</v>
      </c>
      <c r="G30" s="124" t="s">
        <v>523</v>
      </c>
      <c r="H30" s="246">
        <v>0.75</v>
      </c>
      <c r="I30" s="30">
        <f t="shared" si="2"/>
        <v>468000</v>
      </c>
      <c r="J30" s="247">
        <v>0.25</v>
      </c>
      <c r="K30" s="248">
        <f t="shared" si="3"/>
        <v>156000</v>
      </c>
      <c r="L30" s="249">
        <v>0</v>
      </c>
      <c r="M30" s="30">
        <f>624000</f>
        <v>624000</v>
      </c>
      <c r="N30" s="30" t="s">
        <v>3</v>
      </c>
      <c r="O30" s="4" t="s">
        <v>83</v>
      </c>
      <c r="P30" s="28" t="s">
        <v>50</v>
      </c>
      <c r="Q30" s="16">
        <v>0</v>
      </c>
      <c r="R30" s="16" t="s">
        <v>94</v>
      </c>
      <c r="S30" s="16" t="s">
        <v>94</v>
      </c>
      <c r="T30" s="227" t="s">
        <v>26</v>
      </c>
      <c r="U30" s="28" t="s">
        <v>50</v>
      </c>
      <c r="V30" s="31">
        <v>0</v>
      </c>
      <c r="W30" s="31">
        <v>238</v>
      </c>
    </row>
    <row r="31" spans="1:25" ht="138.5" customHeight="1" x14ac:dyDescent="0.35">
      <c r="A31" s="309"/>
      <c r="B31" s="309"/>
      <c r="C31" s="322"/>
      <c r="D31" s="325"/>
      <c r="E31" s="328"/>
      <c r="F31" s="227" t="s">
        <v>12</v>
      </c>
      <c r="G31" s="124" t="s">
        <v>522</v>
      </c>
      <c r="H31" s="246">
        <v>0.75</v>
      </c>
      <c r="I31" s="30">
        <f t="shared" si="2"/>
        <v>57000</v>
      </c>
      <c r="J31" s="256">
        <v>0.25</v>
      </c>
      <c r="K31" s="248">
        <f t="shared" si="3"/>
        <v>19000</v>
      </c>
      <c r="L31" s="249">
        <v>0</v>
      </c>
      <c r="M31" s="30">
        <v>76000</v>
      </c>
      <c r="N31" s="30" t="s">
        <v>52</v>
      </c>
      <c r="O31" s="4" t="s">
        <v>83</v>
      </c>
      <c r="P31" s="28" t="s">
        <v>50</v>
      </c>
      <c r="Q31" s="16">
        <v>0</v>
      </c>
      <c r="R31" s="16" t="s">
        <v>93</v>
      </c>
      <c r="S31" s="16" t="s">
        <v>95</v>
      </c>
      <c r="T31" s="227" t="s">
        <v>26</v>
      </c>
      <c r="U31" s="28" t="s">
        <v>50</v>
      </c>
      <c r="V31" s="31">
        <v>0</v>
      </c>
      <c r="W31" s="31">
        <v>50</v>
      </c>
    </row>
    <row r="32" spans="1:25" ht="52" customHeight="1" x14ac:dyDescent="0.35">
      <c r="A32" s="309"/>
      <c r="B32" s="309"/>
      <c r="C32" s="43"/>
      <c r="D32" s="229" t="s">
        <v>57</v>
      </c>
      <c r="E32" s="230">
        <f>E34+E36+E38+E42+E44+E46+E48+E50+E54</f>
        <v>54172538.149999999</v>
      </c>
      <c r="F32" s="229"/>
      <c r="G32" s="44"/>
      <c r="H32" s="257"/>
      <c r="I32" s="230">
        <f>I34+I36+I38+I42+I44+I46+I48+I50+I54</f>
        <v>48755284.332000002</v>
      </c>
      <c r="J32" s="258"/>
      <c r="K32" s="259">
        <f>K34+K36+K38+K42+K44+K46+K48+K50+K54</f>
        <v>5417253.8180000009</v>
      </c>
      <c r="L32" s="260"/>
      <c r="M32" s="230">
        <f>M34+M36+M38+M42+M44+M46+M48+M50+M54</f>
        <v>54172538.150000006</v>
      </c>
      <c r="N32" s="230"/>
      <c r="O32" s="261"/>
      <c r="P32" s="261"/>
      <c r="Q32" s="45"/>
      <c r="R32" s="45"/>
      <c r="S32" s="45"/>
      <c r="T32" s="229"/>
      <c r="U32" s="298"/>
      <c r="V32" s="299"/>
      <c r="W32" s="299"/>
    </row>
    <row r="33" spans="1:23" ht="157.5" customHeight="1" x14ac:dyDescent="0.35">
      <c r="A33" s="309"/>
      <c r="B33" s="309"/>
      <c r="C33" s="17" t="s">
        <v>77</v>
      </c>
      <c r="D33" s="51" t="s">
        <v>55</v>
      </c>
      <c r="E33" s="51"/>
      <c r="F33" s="227" t="s">
        <v>13</v>
      </c>
      <c r="G33" s="124" t="s">
        <v>529</v>
      </c>
      <c r="H33" s="246">
        <v>0.9</v>
      </c>
      <c r="I33" s="30">
        <f>M33*H33</f>
        <v>2021549.139</v>
      </c>
      <c r="J33" s="253">
        <v>0.1</v>
      </c>
      <c r="K33" s="254">
        <f>J33*M33</f>
        <v>224616.571</v>
      </c>
      <c r="L33" s="249">
        <v>0</v>
      </c>
      <c r="M33" s="30">
        <v>2246165.71</v>
      </c>
      <c r="N33" s="30" t="s">
        <v>3</v>
      </c>
      <c r="O33" s="4" t="s">
        <v>121</v>
      </c>
      <c r="P33" s="28" t="s">
        <v>568</v>
      </c>
      <c r="Q33" s="16">
        <v>0</v>
      </c>
      <c r="R33" s="16" t="s">
        <v>717</v>
      </c>
      <c r="S33" s="16" t="s">
        <v>96</v>
      </c>
      <c r="T33" s="227" t="s">
        <v>564</v>
      </c>
      <c r="U33" s="28" t="s">
        <v>50</v>
      </c>
      <c r="V33" s="31">
        <v>0</v>
      </c>
      <c r="W33" s="31" t="s">
        <v>565</v>
      </c>
    </row>
    <row r="34" spans="1:23" ht="38.5" customHeight="1" x14ac:dyDescent="0.35">
      <c r="A34" s="309"/>
      <c r="B34" s="309"/>
      <c r="C34" s="40"/>
      <c r="D34" s="231" t="s">
        <v>79</v>
      </c>
      <c r="E34" s="232">
        <f>M34</f>
        <v>2246165.71</v>
      </c>
      <c r="F34" s="231"/>
      <c r="G34" s="41"/>
      <c r="H34" s="262"/>
      <c r="I34" s="232">
        <f>SUM(I33)</f>
        <v>2021549.139</v>
      </c>
      <c r="J34" s="263"/>
      <c r="K34" s="264">
        <f>SUM(K33)</f>
        <v>224616.571</v>
      </c>
      <c r="L34" s="265"/>
      <c r="M34" s="232">
        <f>SUM(M33)</f>
        <v>2246165.71</v>
      </c>
      <c r="N34" s="232"/>
      <c r="O34" s="266"/>
      <c r="P34" s="266"/>
      <c r="Q34" s="42"/>
      <c r="R34" s="42"/>
      <c r="S34" s="42"/>
      <c r="T34" s="231"/>
      <c r="U34" s="300"/>
      <c r="V34" s="301"/>
      <c r="W34" s="301"/>
    </row>
    <row r="35" spans="1:23" ht="207.5" customHeight="1" x14ac:dyDescent="0.35">
      <c r="A35" s="309"/>
      <c r="B35" s="309"/>
      <c r="C35" s="17" t="s">
        <v>78</v>
      </c>
      <c r="D35" s="233" t="s">
        <v>56</v>
      </c>
      <c r="E35" s="234"/>
      <c r="F35" s="4" t="s">
        <v>17</v>
      </c>
      <c r="G35" s="124" t="s">
        <v>528</v>
      </c>
      <c r="H35" s="246">
        <v>0.9</v>
      </c>
      <c r="I35" s="30">
        <f>H35*M35</f>
        <v>982129.24800000002</v>
      </c>
      <c r="J35" s="253">
        <v>0.1</v>
      </c>
      <c r="K35" s="254">
        <f>J35*M35</f>
        <v>109125.47200000001</v>
      </c>
      <c r="L35" s="249">
        <v>0</v>
      </c>
      <c r="M35" s="30">
        <v>1091254.72</v>
      </c>
      <c r="N35" s="30" t="s">
        <v>3</v>
      </c>
      <c r="O35" s="4" t="s">
        <v>110</v>
      </c>
      <c r="P35" s="28" t="s">
        <v>50</v>
      </c>
      <c r="Q35" s="16">
        <v>0</v>
      </c>
      <c r="R35" s="4" t="s">
        <v>737</v>
      </c>
      <c r="S35" s="4" t="s">
        <v>567</v>
      </c>
      <c r="T35" s="227" t="s">
        <v>38</v>
      </c>
      <c r="U35" s="28" t="s">
        <v>50</v>
      </c>
      <c r="V35" s="31">
        <v>0</v>
      </c>
      <c r="W35" s="31">
        <v>140</v>
      </c>
    </row>
    <row r="36" spans="1:23" ht="40" customHeight="1" x14ac:dyDescent="0.35">
      <c r="A36" s="309"/>
      <c r="B36" s="309"/>
      <c r="C36" s="40"/>
      <c r="D36" s="231" t="s">
        <v>80</v>
      </c>
      <c r="E36" s="232">
        <f>M35</f>
        <v>1091254.72</v>
      </c>
      <c r="F36" s="231"/>
      <c r="G36" s="41"/>
      <c r="H36" s="262"/>
      <c r="I36" s="232">
        <f>SUM(I35)</f>
        <v>982129.24800000002</v>
      </c>
      <c r="J36" s="263"/>
      <c r="K36" s="264">
        <f>SUM(K35)</f>
        <v>109125.47200000001</v>
      </c>
      <c r="L36" s="267"/>
      <c r="M36" s="232">
        <f>SUM(M35)</f>
        <v>1091254.72</v>
      </c>
      <c r="N36" s="232"/>
      <c r="O36" s="266"/>
      <c r="P36" s="266"/>
      <c r="Q36" s="42"/>
      <c r="R36" s="42"/>
      <c r="S36" s="42"/>
      <c r="T36" s="231"/>
      <c r="U36" s="231"/>
      <c r="V36" s="301"/>
      <c r="W36" s="301"/>
    </row>
    <row r="37" spans="1:23" ht="167" customHeight="1" x14ac:dyDescent="0.35">
      <c r="A37" s="309"/>
      <c r="B37" s="309"/>
      <c r="C37" s="17" t="s">
        <v>78</v>
      </c>
      <c r="D37" s="51" t="s">
        <v>86</v>
      </c>
      <c r="E37" s="30"/>
      <c r="F37" s="4" t="s">
        <v>16</v>
      </c>
      <c r="G37" s="130" t="s">
        <v>527</v>
      </c>
      <c r="H37" s="246">
        <v>0.9</v>
      </c>
      <c r="I37" s="30">
        <f>E38*H37</f>
        <v>480305.67300000001</v>
      </c>
      <c r="J37" s="253">
        <v>0.1</v>
      </c>
      <c r="K37" s="254">
        <f>E38*J37</f>
        <v>53367.296999999999</v>
      </c>
      <c r="L37" s="249">
        <v>0</v>
      </c>
      <c r="M37" s="30">
        <f>I37+K37</f>
        <v>533672.97</v>
      </c>
      <c r="N37" s="30" t="s">
        <v>3</v>
      </c>
      <c r="O37" s="4" t="s">
        <v>739</v>
      </c>
      <c r="P37" s="28" t="s">
        <v>50</v>
      </c>
      <c r="Q37" s="16">
        <v>0</v>
      </c>
      <c r="R37" s="16" t="s">
        <v>738</v>
      </c>
      <c r="S37" s="16" t="s">
        <v>738</v>
      </c>
      <c r="T37" s="28" t="s">
        <v>48</v>
      </c>
      <c r="U37" s="28" t="s">
        <v>50</v>
      </c>
      <c r="V37" s="31" t="s">
        <v>48</v>
      </c>
      <c r="W37" s="31" t="s">
        <v>48</v>
      </c>
    </row>
    <row r="38" spans="1:23" ht="40" customHeight="1" x14ac:dyDescent="0.35">
      <c r="A38" s="309"/>
      <c r="B38" s="309"/>
      <c r="C38" s="40"/>
      <c r="D38" s="231" t="s">
        <v>87</v>
      </c>
      <c r="E38" s="232">
        <v>533672.97</v>
      </c>
      <c r="F38" s="231"/>
      <c r="G38" s="41"/>
      <c r="H38" s="262"/>
      <c r="I38" s="232">
        <v>480305.67</v>
      </c>
      <c r="J38" s="262"/>
      <c r="K38" s="232">
        <v>53367.3</v>
      </c>
      <c r="L38" s="267"/>
      <c r="M38" s="232">
        <f>I38+K38</f>
        <v>533672.97</v>
      </c>
      <c r="N38" s="232"/>
      <c r="O38" s="266"/>
      <c r="P38" s="266"/>
      <c r="Q38" s="42"/>
      <c r="R38" s="42"/>
      <c r="S38" s="42"/>
      <c r="T38" s="231"/>
      <c r="U38" s="231"/>
      <c r="V38" s="301"/>
      <c r="W38" s="301"/>
    </row>
    <row r="39" spans="1:23" ht="40" customHeight="1" x14ac:dyDescent="0.35">
      <c r="A39" s="309"/>
      <c r="B39" s="309"/>
      <c r="C39" s="320" t="s">
        <v>7</v>
      </c>
      <c r="D39" s="329" t="s">
        <v>100</v>
      </c>
      <c r="E39" s="326"/>
      <c r="F39" s="335" t="s">
        <v>13</v>
      </c>
      <c r="G39" s="338" t="s">
        <v>526</v>
      </c>
      <c r="H39" s="314">
        <v>0.9</v>
      </c>
      <c r="I39" s="341">
        <f>E42*H39</f>
        <v>1764000</v>
      </c>
      <c r="J39" s="314">
        <v>0.1</v>
      </c>
      <c r="K39" s="341">
        <f>E42*J39</f>
        <v>196000</v>
      </c>
      <c r="L39" s="353">
        <v>0</v>
      </c>
      <c r="M39" s="341">
        <f>I39+K39</f>
        <v>1960000</v>
      </c>
      <c r="N39" s="341" t="s">
        <v>3</v>
      </c>
      <c r="O39" s="335" t="s">
        <v>28</v>
      </c>
      <c r="P39" s="344" t="s">
        <v>50</v>
      </c>
      <c r="Q39" s="350">
        <v>0</v>
      </c>
      <c r="R39" s="350">
        <v>0</v>
      </c>
      <c r="S39" s="350">
        <v>20</v>
      </c>
      <c r="T39" s="335" t="s">
        <v>99</v>
      </c>
      <c r="U39" s="344" t="s">
        <v>98</v>
      </c>
      <c r="V39" s="347" t="s">
        <v>92</v>
      </c>
      <c r="W39" s="347" t="s">
        <v>93</v>
      </c>
    </row>
    <row r="40" spans="1:23" ht="81.5" customHeight="1" x14ac:dyDescent="0.35">
      <c r="A40" s="309"/>
      <c r="B40" s="309"/>
      <c r="C40" s="321"/>
      <c r="D40" s="330"/>
      <c r="E40" s="327"/>
      <c r="F40" s="336"/>
      <c r="G40" s="339"/>
      <c r="H40" s="315"/>
      <c r="I40" s="342"/>
      <c r="J40" s="315"/>
      <c r="K40" s="342"/>
      <c r="L40" s="354"/>
      <c r="M40" s="342"/>
      <c r="N40" s="342"/>
      <c r="O40" s="336"/>
      <c r="P40" s="345"/>
      <c r="Q40" s="351"/>
      <c r="R40" s="351"/>
      <c r="S40" s="351"/>
      <c r="T40" s="336"/>
      <c r="U40" s="345"/>
      <c r="V40" s="348"/>
      <c r="W40" s="348"/>
    </row>
    <row r="41" spans="1:23" ht="122.5" customHeight="1" x14ac:dyDescent="0.35">
      <c r="A41" s="309"/>
      <c r="B41" s="309"/>
      <c r="C41" s="322"/>
      <c r="D41" s="331"/>
      <c r="E41" s="328"/>
      <c r="F41" s="337"/>
      <c r="G41" s="340"/>
      <c r="H41" s="316"/>
      <c r="I41" s="343"/>
      <c r="J41" s="316"/>
      <c r="K41" s="343"/>
      <c r="L41" s="355"/>
      <c r="M41" s="343"/>
      <c r="N41" s="343"/>
      <c r="O41" s="337"/>
      <c r="P41" s="346"/>
      <c r="Q41" s="352"/>
      <c r="R41" s="352"/>
      <c r="S41" s="352"/>
      <c r="T41" s="337"/>
      <c r="U41" s="346"/>
      <c r="V41" s="349"/>
      <c r="W41" s="349"/>
    </row>
    <row r="42" spans="1:23" ht="40" customHeight="1" x14ac:dyDescent="0.35">
      <c r="A42" s="309"/>
      <c r="B42" s="309"/>
      <c r="C42" s="40"/>
      <c r="D42" s="231" t="s">
        <v>88</v>
      </c>
      <c r="E42" s="232">
        <v>1960000</v>
      </c>
      <c r="F42" s="231"/>
      <c r="G42" s="41"/>
      <c r="H42" s="262"/>
      <c r="I42" s="232">
        <f>I39</f>
        <v>1764000</v>
      </c>
      <c r="J42" s="262"/>
      <c r="K42" s="232">
        <f>K39</f>
        <v>196000</v>
      </c>
      <c r="L42" s="267"/>
      <c r="M42" s="232">
        <f>M39</f>
        <v>1960000</v>
      </c>
      <c r="N42" s="232"/>
      <c r="O42" s="266"/>
      <c r="P42" s="266"/>
      <c r="Q42" s="42"/>
      <c r="R42" s="42"/>
      <c r="S42" s="42"/>
      <c r="T42" s="231"/>
      <c r="U42" s="231"/>
      <c r="V42" s="301"/>
      <c r="W42" s="301"/>
    </row>
    <row r="43" spans="1:23" ht="221.5" customHeight="1" x14ac:dyDescent="0.35">
      <c r="A43" s="309"/>
      <c r="B43" s="309"/>
      <c r="C43" s="17" t="s">
        <v>78</v>
      </c>
      <c r="D43" s="51" t="s">
        <v>109</v>
      </c>
      <c r="E43" s="235"/>
      <c r="F43" s="4" t="s">
        <v>119</v>
      </c>
      <c r="G43" s="130" t="s">
        <v>531</v>
      </c>
      <c r="H43" s="246">
        <v>0.9</v>
      </c>
      <c r="I43" s="30">
        <f>E44*H43</f>
        <v>1540880.1900000002</v>
      </c>
      <c r="J43" s="246">
        <v>0.1</v>
      </c>
      <c r="K43" s="30">
        <f>E44*J43</f>
        <v>171208.91000000003</v>
      </c>
      <c r="L43" s="249">
        <v>0</v>
      </c>
      <c r="M43" s="30">
        <f>I43+K43</f>
        <v>1712089.1</v>
      </c>
      <c r="N43" s="30" t="s">
        <v>3</v>
      </c>
      <c r="O43" s="4" t="s">
        <v>740</v>
      </c>
      <c r="P43" s="28" t="s">
        <v>50</v>
      </c>
      <c r="Q43" s="16">
        <v>0</v>
      </c>
      <c r="R43" s="16">
        <v>0</v>
      </c>
      <c r="S43" s="28" t="s">
        <v>741</v>
      </c>
      <c r="T43" s="227" t="s">
        <v>38</v>
      </c>
      <c r="U43" s="28" t="s">
        <v>50</v>
      </c>
      <c r="V43" s="31">
        <v>0</v>
      </c>
      <c r="W43" s="31">
        <v>50</v>
      </c>
    </row>
    <row r="44" spans="1:23" ht="40" customHeight="1" x14ac:dyDescent="0.35">
      <c r="A44" s="309"/>
      <c r="B44" s="309"/>
      <c r="C44" s="40"/>
      <c r="D44" s="231" t="s">
        <v>105</v>
      </c>
      <c r="E44" s="232">
        <v>1712089.1</v>
      </c>
      <c r="F44" s="231"/>
      <c r="G44" s="41"/>
      <c r="H44" s="262"/>
      <c r="I44" s="232">
        <f>E44*0.9</f>
        <v>1540880.1900000002</v>
      </c>
      <c r="J44" s="262"/>
      <c r="K44" s="232">
        <f>K43</f>
        <v>171208.91000000003</v>
      </c>
      <c r="L44" s="267"/>
      <c r="M44" s="232">
        <f>I44+K44</f>
        <v>1712089.1</v>
      </c>
      <c r="N44" s="232"/>
      <c r="O44" s="266"/>
      <c r="P44" s="266"/>
      <c r="Q44" s="42"/>
      <c r="R44" s="42"/>
      <c r="S44" s="42"/>
      <c r="T44" s="231"/>
      <c r="U44" s="231"/>
      <c r="V44" s="301"/>
      <c r="W44" s="301"/>
    </row>
    <row r="45" spans="1:23" ht="183" customHeight="1" x14ac:dyDescent="0.35">
      <c r="A45" s="309"/>
      <c r="B45" s="309"/>
      <c r="C45" s="17" t="s">
        <v>78</v>
      </c>
      <c r="D45" s="51" t="s">
        <v>108</v>
      </c>
      <c r="E45" s="235"/>
      <c r="F45" s="4" t="s">
        <v>16</v>
      </c>
      <c r="G45" s="130" t="s">
        <v>530</v>
      </c>
      <c r="H45" s="246">
        <v>0.9</v>
      </c>
      <c r="I45" s="30">
        <f>E46*H45</f>
        <v>471698.109</v>
      </c>
      <c r="J45" s="246">
        <v>0.1</v>
      </c>
      <c r="K45" s="30">
        <f>E46*J45</f>
        <v>52410.901000000005</v>
      </c>
      <c r="L45" s="249">
        <v>0</v>
      </c>
      <c r="M45" s="30">
        <f>I45+K45</f>
        <v>524109.01</v>
      </c>
      <c r="N45" s="30" t="s">
        <v>3</v>
      </c>
      <c r="O45" s="4" t="s">
        <v>742</v>
      </c>
      <c r="P45" s="28" t="s">
        <v>50</v>
      </c>
      <c r="Q45" s="16">
        <v>0</v>
      </c>
      <c r="R45" s="16">
        <v>0</v>
      </c>
      <c r="S45" s="28" t="s">
        <v>743</v>
      </c>
      <c r="T45" s="227" t="s">
        <v>38</v>
      </c>
      <c r="U45" s="28" t="s">
        <v>50</v>
      </c>
      <c r="V45" s="31">
        <v>0</v>
      </c>
      <c r="W45" s="31">
        <v>50</v>
      </c>
    </row>
    <row r="46" spans="1:23" ht="40" customHeight="1" x14ac:dyDescent="0.35">
      <c r="A46" s="309"/>
      <c r="B46" s="309"/>
      <c r="C46" s="40"/>
      <c r="D46" s="231" t="s">
        <v>106</v>
      </c>
      <c r="E46" s="232">
        <v>524109.01</v>
      </c>
      <c r="F46" s="231"/>
      <c r="G46" s="41"/>
      <c r="H46" s="262"/>
      <c r="I46" s="232">
        <f>I45</f>
        <v>471698.109</v>
      </c>
      <c r="J46" s="262"/>
      <c r="K46" s="232">
        <f>K45</f>
        <v>52410.901000000005</v>
      </c>
      <c r="L46" s="267"/>
      <c r="M46" s="232">
        <f>M45</f>
        <v>524109.01</v>
      </c>
      <c r="N46" s="232"/>
      <c r="O46" s="266"/>
      <c r="P46" s="266"/>
      <c r="Q46" s="42"/>
      <c r="R46" s="42"/>
      <c r="S46" s="42"/>
      <c r="T46" s="231"/>
      <c r="U46" s="231"/>
      <c r="V46" s="301"/>
      <c r="W46" s="301"/>
    </row>
    <row r="47" spans="1:23" ht="167.5" customHeight="1" x14ac:dyDescent="0.35">
      <c r="A47" s="309"/>
      <c r="B47" s="309"/>
      <c r="C47" s="17" t="s">
        <v>77</v>
      </c>
      <c r="D47" s="51" t="s">
        <v>113</v>
      </c>
      <c r="E47" s="235"/>
      <c r="F47" s="227" t="s">
        <v>124</v>
      </c>
      <c r="G47" s="130" t="s">
        <v>525</v>
      </c>
      <c r="H47" s="246">
        <v>0.9</v>
      </c>
      <c r="I47" s="30">
        <f>E48*H47</f>
        <v>18299916.900000002</v>
      </c>
      <c r="J47" s="246">
        <v>0.1</v>
      </c>
      <c r="K47" s="30">
        <f>E48*J47</f>
        <v>2033324.1</v>
      </c>
      <c r="L47" s="268">
        <v>0</v>
      </c>
      <c r="M47" s="30">
        <f>I47+K47</f>
        <v>20333241.000000004</v>
      </c>
      <c r="N47" s="30" t="s">
        <v>3</v>
      </c>
      <c r="O47" s="4" t="s">
        <v>120</v>
      </c>
      <c r="P47" s="28" t="s">
        <v>50</v>
      </c>
      <c r="Q47" s="16">
        <v>0</v>
      </c>
      <c r="R47" s="16">
        <v>0</v>
      </c>
      <c r="S47" s="16" t="s">
        <v>123</v>
      </c>
      <c r="T47" s="227" t="s">
        <v>118</v>
      </c>
      <c r="U47" s="28" t="s">
        <v>50</v>
      </c>
      <c r="V47" s="31">
        <v>0</v>
      </c>
      <c r="W47" s="31">
        <v>2</v>
      </c>
    </row>
    <row r="48" spans="1:23" ht="40" customHeight="1" x14ac:dyDescent="0.35">
      <c r="A48" s="309"/>
      <c r="B48" s="309"/>
      <c r="C48" s="40"/>
      <c r="D48" s="231" t="s">
        <v>114</v>
      </c>
      <c r="E48" s="232">
        <v>20333241</v>
      </c>
      <c r="F48" s="231"/>
      <c r="G48" s="223"/>
      <c r="H48" s="262"/>
      <c r="I48" s="232">
        <v>18299916.899999999</v>
      </c>
      <c r="J48" s="262"/>
      <c r="K48" s="232">
        <v>2033324.1</v>
      </c>
      <c r="L48" s="232"/>
      <c r="M48" s="232">
        <f>M47</f>
        <v>20333241.000000004</v>
      </c>
      <c r="N48" s="232"/>
      <c r="O48" s="266"/>
      <c r="P48" s="266"/>
      <c r="Q48" s="42"/>
      <c r="R48" s="42"/>
      <c r="S48" s="42"/>
      <c r="T48" s="231"/>
      <c r="U48" s="231"/>
      <c r="V48" s="301"/>
      <c r="W48" s="301"/>
    </row>
    <row r="49" spans="1:23" ht="197" customHeight="1" x14ac:dyDescent="0.35">
      <c r="A49" s="309"/>
      <c r="B49" s="309"/>
      <c r="C49" s="17" t="s">
        <v>77</v>
      </c>
      <c r="D49" s="51" t="s">
        <v>115</v>
      </c>
      <c r="E49" s="235"/>
      <c r="F49" s="227" t="s">
        <v>124</v>
      </c>
      <c r="G49" s="130" t="s">
        <v>524</v>
      </c>
      <c r="H49" s="246">
        <v>0.9</v>
      </c>
      <c r="I49" s="30">
        <f>E50*H49</f>
        <v>4476494.7</v>
      </c>
      <c r="J49" s="246">
        <v>0.1</v>
      </c>
      <c r="K49" s="30">
        <f>E50*J49</f>
        <v>497388.30000000005</v>
      </c>
      <c r="L49" s="269">
        <v>0</v>
      </c>
      <c r="M49" s="30">
        <f>I49+K49</f>
        <v>4973883</v>
      </c>
      <c r="N49" s="30" t="s">
        <v>3</v>
      </c>
      <c r="O49" s="4" t="s">
        <v>121</v>
      </c>
      <c r="P49" s="28" t="s">
        <v>50</v>
      </c>
      <c r="Q49" s="16">
        <v>0</v>
      </c>
      <c r="R49" s="16">
        <v>0</v>
      </c>
      <c r="S49" s="16" t="s">
        <v>122</v>
      </c>
      <c r="T49" s="227" t="s">
        <v>598</v>
      </c>
      <c r="U49" s="28" t="s">
        <v>50</v>
      </c>
      <c r="V49" s="31">
        <v>0</v>
      </c>
      <c r="W49" s="31" t="s">
        <v>117</v>
      </c>
    </row>
    <row r="50" spans="1:23" ht="40" customHeight="1" x14ac:dyDescent="0.35">
      <c r="A50" s="309"/>
      <c r="B50" s="309"/>
      <c r="C50" s="40"/>
      <c r="D50" s="231" t="s">
        <v>756</v>
      </c>
      <c r="E50" s="232">
        <v>4973883</v>
      </c>
      <c r="F50" s="231"/>
      <c r="G50" s="41"/>
      <c r="H50" s="262"/>
      <c r="I50" s="232">
        <f>I49</f>
        <v>4476494.7</v>
      </c>
      <c r="J50" s="262"/>
      <c r="K50" s="232">
        <f>K49</f>
        <v>497388.30000000005</v>
      </c>
      <c r="L50" s="267"/>
      <c r="M50" s="232">
        <f>M49</f>
        <v>4973883</v>
      </c>
      <c r="N50" s="232"/>
      <c r="O50" s="266"/>
      <c r="P50" s="266"/>
      <c r="Q50" s="42"/>
      <c r="R50" s="42"/>
      <c r="S50" s="42"/>
      <c r="T50" s="231"/>
      <c r="U50" s="231"/>
      <c r="V50" s="301"/>
      <c r="W50" s="301"/>
    </row>
    <row r="51" spans="1:23" ht="110" customHeight="1" x14ac:dyDescent="0.35">
      <c r="A51" s="309"/>
      <c r="B51" s="309"/>
      <c r="C51" s="320" t="s">
        <v>757</v>
      </c>
      <c r="D51" s="329" t="s">
        <v>752</v>
      </c>
      <c r="E51" s="326"/>
      <c r="F51" s="226" t="s">
        <v>125</v>
      </c>
      <c r="G51" s="130" t="s">
        <v>749</v>
      </c>
      <c r="H51" s="246">
        <v>0.9</v>
      </c>
      <c r="I51" s="30">
        <f>M51*H51</f>
        <v>12996110.376</v>
      </c>
      <c r="J51" s="246">
        <v>0.1</v>
      </c>
      <c r="K51" s="30">
        <f>M51*J51</f>
        <v>1444012.2640000002</v>
      </c>
      <c r="L51" s="249">
        <v>0</v>
      </c>
      <c r="M51" s="30">
        <v>14440122.640000001</v>
      </c>
      <c r="N51" s="30" t="s">
        <v>3</v>
      </c>
      <c r="O51" s="4" t="s">
        <v>758</v>
      </c>
      <c r="P51" s="28" t="s">
        <v>50</v>
      </c>
      <c r="Q51" s="16">
        <v>0</v>
      </c>
      <c r="R51" s="16">
        <v>0</v>
      </c>
      <c r="S51" s="28" t="s">
        <v>613</v>
      </c>
      <c r="T51" s="227" t="s">
        <v>48</v>
      </c>
      <c r="U51" s="227" t="s">
        <v>50</v>
      </c>
      <c r="V51" s="31" t="s">
        <v>48</v>
      </c>
      <c r="W51" s="31" t="s">
        <v>48</v>
      </c>
    </row>
    <row r="52" spans="1:23" ht="144.5" customHeight="1" x14ac:dyDescent="0.35">
      <c r="A52" s="309"/>
      <c r="B52" s="309"/>
      <c r="C52" s="321"/>
      <c r="D52" s="330"/>
      <c r="E52" s="327"/>
      <c r="F52" s="226" t="s">
        <v>125</v>
      </c>
      <c r="G52" s="130" t="s">
        <v>750</v>
      </c>
      <c r="H52" s="246">
        <v>0.9</v>
      </c>
      <c r="I52" s="30">
        <f>M52*H52</f>
        <v>4086000</v>
      </c>
      <c r="J52" s="246">
        <v>0.1</v>
      </c>
      <c r="K52" s="30">
        <f>M52*J52</f>
        <v>454000</v>
      </c>
      <c r="L52" s="249">
        <v>0</v>
      </c>
      <c r="M52" s="30">
        <v>4540000</v>
      </c>
      <c r="N52" s="30" t="s">
        <v>3</v>
      </c>
      <c r="O52" s="4" t="s">
        <v>753</v>
      </c>
      <c r="P52" s="28" t="s">
        <v>50</v>
      </c>
      <c r="Q52" s="16">
        <v>0</v>
      </c>
      <c r="R52" s="16">
        <v>0</v>
      </c>
      <c r="S52" s="16" t="s">
        <v>139</v>
      </c>
      <c r="T52" s="227" t="s">
        <v>48</v>
      </c>
      <c r="U52" s="227" t="s">
        <v>50</v>
      </c>
      <c r="V52" s="31" t="s">
        <v>48</v>
      </c>
      <c r="W52" s="31" t="s">
        <v>48</v>
      </c>
    </row>
    <row r="53" spans="1:23" ht="336" customHeight="1" x14ac:dyDescent="0.35">
      <c r="A53" s="309"/>
      <c r="B53" s="309"/>
      <c r="C53" s="322"/>
      <c r="D53" s="331"/>
      <c r="E53" s="328"/>
      <c r="F53" s="226" t="s">
        <v>125</v>
      </c>
      <c r="G53" s="130" t="s">
        <v>751</v>
      </c>
      <c r="H53" s="246">
        <v>0.9</v>
      </c>
      <c r="I53" s="30">
        <f>H53*M53</f>
        <v>1636200</v>
      </c>
      <c r="J53" s="246">
        <v>0.1</v>
      </c>
      <c r="K53" s="30">
        <f>M53*J53</f>
        <v>181800</v>
      </c>
      <c r="L53" s="249">
        <v>0</v>
      </c>
      <c r="M53" s="30">
        <v>1818000</v>
      </c>
      <c r="N53" s="30" t="s">
        <v>3</v>
      </c>
      <c r="O53" s="4" t="s">
        <v>127</v>
      </c>
      <c r="P53" s="28" t="s">
        <v>50</v>
      </c>
      <c r="Q53" s="16">
        <v>0</v>
      </c>
      <c r="R53" s="16">
        <v>0</v>
      </c>
      <c r="S53" s="16" t="s">
        <v>140</v>
      </c>
      <c r="T53" s="227" t="s">
        <v>48</v>
      </c>
      <c r="U53" s="227" t="s">
        <v>50</v>
      </c>
      <c r="V53" s="31" t="s">
        <v>48</v>
      </c>
      <c r="W53" s="31" t="s">
        <v>48</v>
      </c>
    </row>
    <row r="54" spans="1:23" ht="40" customHeight="1" x14ac:dyDescent="0.35">
      <c r="A54" s="309"/>
      <c r="B54" s="310"/>
      <c r="C54" s="40"/>
      <c r="D54" s="231" t="s">
        <v>126</v>
      </c>
      <c r="E54" s="232">
        <f>M54</f>
        <v>20798122.640000001</v>
      </c>
      <c r="F54" s="231"/>
      <c r="G54" s="41"/>
      <c r="H54" s="262"/>
      <c r="I54" s="232">
        <f>I52+I51+I53</f>
        <v>18718310.376000002</v>
      </c>
      <c r="J54" s="262"/>
      <c r="K54" s="232">
        <f>K51+K52+K53</f>
        <v>2079812.2640000002</v>
      </c>
      <c r="L54" s="267"/>
      <c r="M54" s="232">
        <f>M51+M52+M53</f>
        <v>20798122.640000001</v>
      </c>
      <c r="N54" s="232"/>
      <c r="O54" s="266"/>
      <c r="P54" s="266"/>
      <c r="Q54" s="42"/>
      <c r="R54" s="42"/>
      <c r="S54" s="42"/>
      <c r="T54" s="231"/>
      <c r="U54" s="231"/>
      <c r="V54" s="301"/>
      <c r="W54" s="301"/>
    </row>
    <row r="55" spans="1:23" ht="54.5" customHeight="1" x14ac:dyDescent="0.35">
      <c r="A55" s="309"/>
      <c r="B55" s="64"/>
      <c r="C55" s="65"/>
      <c r="D55" s="236"/>
      <c r="E55" s="237">
        <f>E56+1000000</f>
        <v>3000000</v>
      </c>
      <c r="F55" s="238"/>
      <c r="G55" s="67" t="s">
        <v>130</v>
      </c>
      <c r="H55" s="270"/>
      <c r="I55" s="271">
        <f>I56+750000</f>
        <v>2250000</v>
      </c>
      <c r="J55" s="270"/>
      <c r="K55" s="271">
        <f>K56+250000</f>
        <v>750000</v>
      </c>
      <c r="L55" s="272"/>
      <c r="M55" s="271">
        <f>M56+1000000</f>
        <v>3000000</v>
      </c>
      <c r="N55" s="271"/>
      <c r="O55" s="273"/>
      <c r="P55" s="273"/>
      <c r="Q55" s="66"/>
      <c r="R55" s="66"/>
      <c r="S55" s="66"/>
      <c r="T55" s="238"/>
      <c r="U55" s="238"/>
      <c r="V55" s="302"/>
      <c r="W55" s="302"/>
    </row>
    <row r="56" spans="1:23" s="22" customFormat="1" ht="40" customHeight="1" x14ac:dyDescent="0.45">
      <c r="A56" s="309"/>
      <c r="B56" s="37"/>
      <c r="C56" s="38"/>
      <c r="D56" s="239"/>
      <c r="E56" s="240">
        <f>I56+K56</f>
        <v>2000000</v>
      </c>
      <c r="F56" s="239"/>
      <c r="G56" s="39" t="s">
        <v>129</v>
      </c>
      <c r="H56" s="274"/>
      <c r="I56" s="275">
        <f>I57+I58+I59+I60+I61-750000</f>
        <v>1500000</v>
      </c>
      <c r="J56" s="276"/>
      <c r="K56" s="275">
        <f>K57+K58+K59+K60+K61-250000</f>
        <v>500000</v>
      </c>
      <c r="L56" s="277"/>
      <c r="M56" s="275">
        <f>M57+M58+M59+M60+M61-1000000</f>
        <v>2000000</v>
      </c>
      <c r="N56" s="275"/>
      <c r="O56" s="239"/>
      <c r="P56" s="239"/>
      <c r="Q56" s="278"/>
      <c r="R56" s="278"/>
      <c r="S56" s="278"/>
      <c r="T56" s="278"/>
      <c r="U56" s="278"/>
      <c r="V56" s="278"/>
      <c r="W56" s="278"/>
    </row>
    <row r="57" spans="1:23" ht="124.5" customHeight="1" x14ac:dyDescent="0.35">
      <c r="A57" s="309"/>
      <c r="B57" s="311" t="s">
        <v>131</v>
      </c>
      <c r="C57" s="356" t="s">
        <v>134</v>
      </c>
      <c r="D57" s="323" t="s">
        <v>53</v>
      </c>
      <c r="E57" s="326">
        <f>SUM(M57:M58)</f>
        <v>2050000</v>
      </c>
      <c r="F57" s="227" t="s">
        <v>21</v>
      </c>
      <c r="G57" s="3" t="s">
        <v>569</v>
      </c>
      <c r="H57" s="246">
        <v>0.75</v>
      </c>
      <c r="I57" s="30">
        <f t="shared" ref="I57:I58" si="4">M57*H57</f>
        <v>374913.75</v>
      </c>
      <c r="J57" s="253">
        <v>0.25</v>
      </c>
      <c r="K57" s="254">
        <f t="shared" ref="K57:K58" si="5">J57*M57</f>
        <v>124971.25</v>
      </c>
      <c r="L57" s="279">
        <v>0</v>
      </c>
      <c r="M57" s="30">
        <f>499885</f>
        <v>499885</v>
      </c>
      <c r="N57" s="30" t="s">
        <v>3</v>
      </c>
      <c r="O57" s="280" t="s">
        <v>574</v>
      </c>
      <c r="P57" s="281" t="s">
        <v>50</v>
      </c>
      <c r="Q57" s="282">
        <v>0</v>
      </c>
      <c r="R57" s="283" t="s">
        <v>575</v>
      </c>
      <c r="S57" s="282" t="s">
        <v>576</v>
      </c>
      <c r="T57" s="281" t="s">
        <v>48</v>
      </c>
      <c r="U57" s="281" t="s">
        <v>50</v>
      </c>
      <c r="V57" s="282" t="s">
        <v>48</v>
      </c>
      <c r="W57" s="282" t="s">
        <v>48</v>
      </c>
    </row>
    <row r="58" spans="1:23" ht="231" customHeight="1" x14ac:dyDescent="0.35">
      <c r="A58" s="309"/>
      <c r="B58" s="312"/>
      <c r="C58" s="357"/>
      <c r="D58" s="325"/>
      <c r="E58" s="328"/>
      <c r="F58" s="227" t="s">
        <v>22</v>
      </c>
      <c r="G58" s="4" t="s">
        <v>570</v>
      </c>
      <c r="H58" s="246">
        <v>0.75</v>
      </c>
      <c r="I58" s="30">
        <f t="shared" si="4"/>
        <v>1162586.25</v>
      </c>
      <c r="J58" s="253">
        <v>0.25</v>
      </c>
      <c r="K58" s="254">
        <f t="shared" si="5"/>
        <v>387528.75</v>
      </c>
      <c r="L58" s="279">
        <v>0</v>
      </c>
      <c r="M58" s="30">
        <f>200000+200130+149985+1000000</f>
        <v>1550115</v>
      </c>
      <c r="N58" s="30" t="s">
        <v>3</v>
      </c>
      <c r="O58" s="280" t="s">
        <v>759</v>
      </c>
      <c r="P58" s="281" t="s">
        <v>50</v>
      </c>
      <c r="Q58" s="282">
        <v>0</v>
      </c>
      <c r="R58" s="281" t="s">
        <v>755</v>
      </c>
      <c r="S58" s="281" t="s">
        <v>760</v>
      </c>
      <c r="T58" s="303" t="s">
        <v>136</v>
      </c>
      <c r="U58" s="281" t="s">
        <v>50</v>
      </c>
      <c r="V58" s="282" t="s">
        <v>48</v>
      </c>
      <c r="W58" s="282">
        <v>6</v>
      </c>
    </row>
    <row r="59" spans="1:23" ht="107" customHeight="1" x14ac:dyDescent="0.35">
      <c r="A59" s="309"/>
      <c r="B59" s="312"/>
      <c r="C59" s="9" t="s">
        <v>534</v>
      </c>
      <c r="D59" s="329" t="s">
        <v>54</v>
      </c>
      <c r="E59" s="326">
        <f>SUM(M59:M61)</f>
        <v>950000</v>
      </c>
      <c r="F59" s="227" t="s">
        <v>19</v>
      </c>
      <c r="G59" s="4" t="s">
        <v>571</v>
      </c>
      <c r="H59" s="246">
        <v>0.75</v>
      </c>
      <c r="I59" s="30">
        <f>M59*H59</f>
        <v>412500</v>
      </c>
      <c r="J59" s="247">
        <v>0.25</v>
      </c>
      <c r="K59" s="248">
        <f>M59*J59</f>
        <v>137500</v>
      </c>
      <c r="L59" s="279">
        <v>0</v>
      </c>
      <c r="M59" s="284">
        <v>550000</v>
      </c>
      <c r="N59" s="284" t="s">
        <v>4</v>
      </c>
      <c r="O59" s="280" t="s">
        <v>84</v>
      </c>
      <c r="P59" s="281" t="s">
        <v>50</v>
      </c>
      <c r="Q59" s="282">
        <v>0</v>
      </c>
      <c r="R59" s="282" t="s">
        <v>102</v>
      </c>
      <c r="S59" s="282" t="s">
        <v>101</v>
      </c>
      <c r="T59" s="280" t="s">
        <v>26</v>
      </c>
      <c r="U59" s="281" t="s">
        <v>50</v>
      </c>
      <c r="V59" s="304" t="s">
        <v>48</v>
      </c>
      <c r="W59" s="304">
        <v>70</v>
      </c>
    </row>
    <row r="60" spans="1:23" ht="104" customHeight="1" x14ac:dyDescent="0.35">
      <c r="A60" s="309"/>
      <c r="B60" s="312"/>
      <c r="C60" s="9" t="s">
        <v>11</v>
      </c>
      <c r="D60" s="330"/>
      <c r="E60" s="327"/>
      <c r="F60" s="227" t="s">
        <v>20</v>
      </c>
      <c r="G60" s="4" t="s">
        <v>572</v>
      </c>
      <c r="H60" s="246">
        <v>0.75</v>
      </c>
      <c r="I60" s="30">
        <f>H60*M60</f>
        <v>97500</v>
      </c>
      <c r="J60" s="247">
        <v>0.25</v>
      </c>
      <c r="K60" s="248">
        <f>J60*M60</f>
        <v>32500</v>
      </c>
      <c r="L60" s="279">
        <v>0</v>
      </c>
      <c r="M60" s="284">
        <v>130000</v>
      </c>
      <c r="N60" s="284" t="s">
        <v>4</v>
      </c>
      <c r="O60" s="280" t="s">
        <v>23</v>
      </c>
      <c r="P60" s="281" t="s">
        <v>50</v>
      </c>
      <c r="Q60" s="282">
        <v>0</v>
      </c>
      <c r="R60" s="282">
        <v>10</v>
      </c>
      <c r="S60" s="282">
        <v>20</v>
      </c>
      <c r="T60" s="280" t="s">
        <v>25</v>
      </c>
      <c r="U60" s="281" t="s">
        <v>50</v>
      </c>
      <c r="V60" s="304" t="s">
        <v>48</v>
      </c>
      <c r="W60" s="304">
        <v>7</v>
      </c>
    </row>
    <row r="61" spans="1:23" ht="104" customHeight="1" x14ac:dyDescent="0.35">
      <c r="A61" s="310"/>
      <c r="B61" s="313"/>
      <c r="C61" s="9" t="s">
        <v>534</v>
      </c>
      <c r="D61" s="331"/>
      <c r="E61" s="328"/>
      <c r="F61" s="227" t="s">
        <v>132</v>
      </c>
      <c r="G61" s="4" t="s">
        <v>133</v>
      </c>
      <c r="H61" s="246">
        <v>0.75</v>
      </c>
      <c r="I61" s="30">
        <f>H61*M61</f>
        <v>202500</v>
      </c>
      <c r="J61" s="247">
        <v>0.25</v>
      </c>
      <c r="K61" s="248">
        <f>J61*M61</f>
        <v>67500</v>
      </c>
      <c r="L61" s="279">
        <v>0</v>
      </c>
      <c r="M61" s="284">
        <v>270000</v>
      </c>
      <c r="N61" s="284" t="s">
        <v>4</v>
      </c>
      <c r="O61" s="280" t="s">
        <v>23</v>
      </c>
      <c r="P61" s="281" t="s">
        <v>50</v>
      </c>
      <c r="Q61" s="282">
        <v>0</v>
      </c>
      <c r="R61" s="282">
        <v>0</v>
      </c>
      <c r="S61" s="282">
        <v>3</v>
      </c>
      <c r="T61" s="280" t="s">
        <v>136</v>
      </c>
      <c r="U61" s="281" t="s">
        <v>50</v>
      </c>
      <c r="V61" s="304" t="s">
        <v>48</v>
      </c>
      <c r="W61" s="304">
        <v>2</v>
      </c>
    </row>
    <row r="62" spans="1:23" s="23" customFormat="1" ht="54" customHeight="1" x14ac:dyDescent="0.35">
      <c r="A62" s="32"/>
      <c r="B62" s="33"/>
      <c r="C62" s="34"/>
      <c r="D62" s="34" t="s">
        <v>67</v>
      </c>
      <c r="E62" s="34"/>
      <c r="F62" s="35"/>
      <c r="G62" s="36"/>
      <c r="H62" s="285">
        <v>1</v>
      </c>
      <c r="I62" s="286">
        <f>1921670.09+121292.95+28818.34+58927.75+105840+120754.7+1366584.69+1123098.62+305161.7+92124.79+0.01</f>
        <v>5244273.6400000006</v>
      </c>
      <c r="J62" s="287">
        <v>0</v>
      </c>
      <c r="K62" s="288">
        <v>0</v>
      </c>
      <c r="L62" s="289">
        <v>0</v>
      </c>
      <c r="M62" s="286">
        <f>I62+K62</f>
        <v>5244273.6400000006</v>
      </c>
      <c r="N62" s="286"/>
      <c r="O62" s="290"/>
      <c r="P62" s="291"/>
      <c r="Q62" s="292"/>
      <c r="R62" s="292"/>
      <c r="S62" s="292"/>
      <c r="T62" s="290"/>
      <c r="U62" s="291"/>
      <c r="V62" s="305"/>
      <c r="W62" s="305"/>
    </row>
    <row r="63" spans="1:23" ht="54" customHeight="1" x14ac:dyDescent="0.35">
      <c r="A63" s="52"/>
      <c r="B63" s="53"/>
      <c r="C63" s="54"/>
      <c r="D63" s="54"/>
      <c r="E63" s="54"/>
      <c r="F63" s="55"/>
      <c r="G63" s="56" t="s">
        <v>116</v>
      </c>
      <c r="H63" s="62" t="s">
        <v>59</v>
      </c>
      <c r="I63" s="63">
        <f>I7+I55</f>
        <v>87404560.75500001</v>
      </c>
      <c r="J63" s="15" t="s">
        <v>75</v>
      </c>
      <c r="K63" s="61">
        <f>K55+K7</f>
        <v>18300345.954999998</v>
      </c>
      <c r="L63" s="60" t="s">
        <v>30</v>
      </c>
      <c r="M63" s="63">
        <f>M55+M7</f>
        <v>105704906.70999999</v>
      </c>
      <c r="N63" s="57"/>
      <c r="P63" s="58"/>
      <c r="Q63" s="59"/>
      <c r="R63" s="59"/>
      <c r="S63" s="59"/>
      <c r="U63" s="306"/>
      <c r="V63" s="307"/>
      <c r="W63" s="307"/>
    </row>
    <row r="64" spans="1:23" ht="33.5" customHeight="1" x14ac:dyDescent="0.45">
      <c r="D64" s="11"/>
      <c r="F64" s="6"/>
      <c r="G64" s="46" t="s">
        <v>81</v>
      </c>
      <c r="H64" s="47" t="s">
        <v>59</v>
      </c>
      <c r="I64" s="48">
        <f>I62+I63</f>
        <v>92648834.395000011</v>
      </c>
      <c r="J64" s="47" t="s">
        <v>75</v>
      </c>
      <c r="K64" s="48">
        <f>K7+K55</f>
        <v>18300345.954999998</v>
      </c>
      <c r="L64" s="47" t="s">
        <v>30</v>
      </c>
      <c r="M64" s="48">
        <f>M7+M55+M62</f>
        <v>110949180.34999999</v>
      </c>
      <c r="N64" s="8"/>
    </row>
    <row r="65" spans="5:16" x14ac:dyDescent="0.35">
      <c r="F65" s="6"/>
      <c r="M65" s="8"/>
      <c r="N65" s="8"/>
      <c r="O65" s="12"/>
      <c r="P65" s="12"/>
    </row>
    <row r="66" spans="5:16" x14ac:dyDescent="0.35">
      <c r="I66" s="8"/>
      <c r="J66" s="8"/>
      <c r="K66" s="8"/>
      <c r="M66" s="8"/>
      <c r="N66" s="8"/>
      <c r="O66" s="13"/>
      <c r="P66" s="13"/>
    </row>
    <row r="67" spans="5:16" x14ac:dyDescent="0.35">
      <c r="I67" s="8"/>
      <c r="K67" s="8"/>
      <c r="L67" s="8"/>
    </row>
    <row r="68" spans="5:16" ht="26.5" customHeight="1" x14ac:dyDescent="0.35">
      <c r="I68" s="8"/>
      <c r="J68" s="8"/>
    </row>
    <row r="69" spans="5:16" ht="93.75" customHeight="1" x14ac:dyDescent="0.35"/>
    <row r="70" spans="5:16" ht="93.75" customHeight="1" x14ac:dyDescent="0.35">
      <c r="E70" s="222"/>
    </row>
    <row r="71" spans="5:16" ht="137.25" customHeight="1" x14ac:dyDescent="0.35">
      <c r="F71" s="8"/>
    </row>
    <row r="72" spans="5:16" ht="29.25" customHeight="1" x14ac:dyDescent="0.35"/>
    <row r="73" spans="5:16" ht="24" customHeight="1" x14ac:dyDescent="0.35"/>
    <row r="74" spans="5:16" ht="15" customHeight="1" x14ac:dyDescent="0.35"/>
    <row r="80" spans="5:16" ht="8" customHeight="1" x14ac:dyDescent="0.35"/>
  </sheetData>
  <autoFilter ref="A8:Y64" xr:uid="{F7C51932-9F6A-44DE-A247-0E99F0A9F1FB}"/>
  <mergeCells count="42">
    <mergeCell ref="C57:C58"/>
    <mergeCell ref="D57:D58"/>
    <mergeCell ref="E57:E58"/>
    <mergeCell ref="D59:D61"/>
    <mergeCell ref="E59:E61"/>
    <mergeCell ref="U39:U41"/>
    <mergeCell ref="V39:V41"/>
    <mergeCell ref="W39:W41"/>
    <mergeCell ref="C51:C53"/>
    <mergeCell ref="D51:D53"/>
    <mergeCell ref="E51:E53"/>
    <mergeCell ref="O39:O41"/>
    <mergeCell ref="P39:P41"/>
    <mergeCell ref="Q39:Q41"/>
    <mergeCell ref="R39:R41"/>
    <mergeCell ref="S39:S41"/>
    <mergeCell ref="T39:T41"/>
    <mergeCell ref="K39:K41"/>
    <mergeCell ref="L39:L41"/>
    <mergeCell ref="M39:M41"/>
    <mergeCell ref="N39:N41"/>
    <mergeCell ref="E39:E41"/>
    <mergeCell ref="F39:F41"/>
    <mergeCell ref="G39:G41"/>
    <mergeCell ref="H39:H41"/>
    <mergeCell ref="I39:I41"/>
    <mergeCell ref="A9:A61"/>
    <mergeCell ref="B57:B61"/>
    <mergeCell ref="J39:J41"/>
    <mergeCell ref="J5:L5"/>
    <mergeCell ref="B9:B54"/>
    <mergeCell ref="C21:C27"/>
    <mergeCell ref="D21:D27"/>
    <mergeCell ref="E21:E27"/>
    <mergeCell ref="D28:D31"/>
    <mergeCell ref="E28:E31"/>
    <mergeCell ref="C30:C31"/>
    <mergeCell ref="C39:C41"/>
    <mergeCell ref="D39:D41"/>
    <mergeCell ref="E9:E20"/>
    <mergeCell ref="D9:D20"/>
    <mergeCell ref="C9:C20"/>
  </mergeCells>
  <phoneticPr fontId="2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AD94E-ED27-4533-9373-B536C70E7312}">
  <dimension ref="A1:F149"/>
  <sheetViews>
    <sheetView topLeftCell="B39" workbookViewId="0">
      <selection activeCell="F42" sqref="F42"/>
    </sheetView>
  </sheetViews>
  <sheetFormatPr defaultRowHeight="14.5" x14ac:dyDescent="0.35"/>
  <cols>
    <col min="1" max="1" width="15.1796875" customWidth="1"/>
    <col min="2" max="2" width="21.453125" customWidth="1"/>
    <col min="3" max="3" width="56.1796875" customWidth="1"/>
    <col min="4" max="4" width="15.81640625" customWidth="1"/>
    <col min="5" max="5" width="15.1796875" customWidth="1"/>
    <col min="6" max="6" width="48.81640625" customWidth="1"/>
  </cols>
  <sheetData>
    <row r="1" spans="1:5" x14ac:dyDescent="0.35">
      <c r="A1" t="s">
        <v>147</v>
      </c>
      <c r="D1" s="99" t="s">
        <v>498</v>
      </c>
      <c r="E1" s="99" t="s">
        <v>499</v>
      </c>
    </row>
    <row r="2" spans="1:5" x14ac:dyDescent="0.35">
      <c r="A2" s="99" t="s">
        <v>496</v>
      </c>
      <c r="B2" s="99"/>
      <c r="C2" s="99"/>
    </row>
    <row r="3" spans="1:5" ht="38" customHeight="1" x14ac:dyDescent="0.35">
      <c r="A3" s="364" t="s">
        <v>206</v>
      </c>
      <c r="B3" s="120"/>
      <c r="C3" s="120" t="s">
        <v>482</v>
      </c>
      <c r="D3" s="121">
        <f>D4+D5+D6+D7+D8+D9+D10+D11+D12+D13+D14</f>
        <v>320</v>
      </c>
      <c r="E3" s="121">
        <f>E4+E5+E6+E7+E8+E9+E10+E11+E12+E13+E14</f>
        <v>1607</v>
      </c>
    </row>
    <row r="4" spans="1:5" ht="17.5" customHeight="1" x14ac:dyDescent="0.35">
      <c r="A4" s="377"/>
      <c r="B4" s="104" t="s">
        <v>554</v>
      </c>
      <c r="C4" s="107" t="str">
        <f>'Rahastamiskava juuni 2025'!G9</f>
        <v xml:space="preserve">PIIRIKONTROLLISEADMETE UUENDAMINE                                                                              </v>
      </c>
      <c r="D4" s="75">
        <v>200</v>
      </c>
      <c r="E4" s="75">
        <v>1000</v>
      </c>
    </row>
    <row r="5" spans="1:5" ht="23" customHeight="1" x14ac:dyDescent="0.35">
      <c r="A5" s="377"/>
      <c r="B5" s="105" t="s">
        <v>547</v>
      </c>
      <c r="C5" s="108" t="str">
        <f>'Rahastamiskava juuni 2025'!G11</f>
        <v>Maismaavarustuse soetamine ja paigaldamine piirilõikudele 4-6</v>
      </c>
      <c r="D5" s="106">
        <v>44</v>
      </c>
      <c r="E5" s="106">
        <v>86</v>
      </c>
    </row>
    <row r="6" spans="1:5" ht="22" customHeight="1" x14ac:dyDescent="0.35">
      <c r="A6" s="377"/>
      <c r="B6" s="104" t="s">
        <v>545</v>
      </c>
      <c r="C6" s="107" t="str">
        <f>'Rahastamiskava juuni 2025'!G12</f>
        <v>Maismaavarustuse soetamine ja paigaldamine piirilõikudele 1-3, 7 ja 8</v>
      </c>
      <c r="D6" s="75">
        <v>54</v>
      </c>
      <c r="E6" s="75">
        <v>155</v>
      </c>
    </row>
    <row r="7" spans="1:5" ht="32.5" customHeight="1" x14ac:dyDescent="0.35">
      <c r="A7" s="377"/>
      <c r="B7" s="105" t="s">
        <v>639</v>
      </c>
      <c r="C7" s="108" t="str">
        <f>'Rahastamiskava juuni 2025'!G13</f>
        <v>Maismaavarustuse soetamine ja paigaldamine piirilõikudele 9-11</v>
      </c>
      <c r="D7" s="106">
        <v>0</v>
      </c>
      <c r="E7" s="106">
        <v>21</v>
      </c>
    </row>
    <row r="8" spans="1:5" ht="18.5" customHeight="1" x14ac:dyDescent="0.35">
      <c r="A8" s="377"/>
      <c r="B8" s="104" t="s">
        <v>557</v>
      </c>
      <c r="C8" s="107" t="str">
        <f>'Rahastamiskava juuni 2025'!G15</f>
        <v>NARVA JÕE SEIRE JA JUHTIMISKESKUSE TEHNIKA SOETUS</v>
      </c>
      <c r="D8" s="75">
        <v>0</v>
      </c>
      <c r="E8" s="75">
        <v>39</v>
      </c>
    </row>
    <row r="9" spans="1:5" ht="28" customHeight="1" x14ac:dyDescent="0.35">
      <c r="A9" s="377"/>
      <c r="B9" s="105" t="s">
        <v>548</v>
      </c>
      <c r="C9" s="108" t="str">
        <f>'Rahastamiskava juuni 2025'!G20</f>
        <v xml:space="preserve">TEGEVUSTOETUS                                                      Automatiseeritud piiriületuse toimivuse tagamine piiripunktides                      </v>
      </c>
      <c r="D9" s="106">
        <v>18</v>
      </c>
      <c r="E9" s="106">
        <v>20</v>
      </c>
    </row>
    <row r="10" spans="1:5" ht="30" customHeight="1" x14ac:dyDescent="0.35">
      <c r="A10" s="377"/>
      <c r="B10" s="177" t="s">
        <v>562</v>
      </c>
      <c r="C10" s="107" t="str">
        <f>'Rahastamiskava juuni 2025'!G33</f>
        <v>Erimeede BMVI/2021-2022/SA/1.2.1/003 - Autonoomse ja mobiilse kaugseire võimekuse tõstmine</v>
      </c>
      <c r="D10" s="75">
        <v>4</v>
      </c>
      <c r="E10" s="75">
        <v>4</v>
      </c>
    </row>
    <row r="11" spans="1:5" ht="31.5" customHeight="1" x14ac:dyDescent="0.35">
      <c r="A11" s="377"/>
      <c r="B11" s="105" t="s">
        <v>563</v>
      </c>
      <c r="C11" s="108" t="str">
        <f>'Rahastamiskava juuni 2025'!G47</f>
        <v>Erimeede BMVI/2024/SA/1.4.2/002 - Piirivalvevõimekuse suurendamine välispiiril</v>
      </c>
      <c r="D11" s="106">
        <v>0</v>
      </c>
      <c r="E11" s="106">
        <v>115</v>
      </c>
    </row>
    <row r="12" spans="1:5" ht="29.5" customHeight="1" x14ac:dyDescent="0.35">
      <c r="A12" s="377"/>
      <c r="B12" s="104" t="s">
        <v>546</v>
      </c>
      <c r="C12" s="107" t="str">
        <f>'Rahastamiskava juuni 2025'!G49</f>
        <v>Erimeede BMVI/2024/SA/1.1.5/001 - Mitmekihilise droonituvastuse- ja -tõrjepositsiooni piloteerimine</v>
      </c>
      <c r="D12" s="75">
        <v>0</v>
      </c>
      <c r="E12" s="75">
        <v>8</v>
      </c>
    </row>
    <row r="13" spans="1:5" ht="30" customHeight="1" x14ac:dyDescent="0.35">
      <c r="A13" s="377"/>
      <c r="B13" s="105" t="s">
        <v>639</v>
      </c>
      <c r="C13" s="108" t="str">
        <f>'Rahastamiskava juuni 2025'!G52</f>
        <v>Erimeede-Rändepakt:Infovahetuse tõhustamine taustakontrollis ja piirimenetluses</v>
      </c>
      <c r="D13" s="106">
        <v>0</v>
      </c>
      <c r="E13" s="106">
        <v>70</v>
      </c>
    </row>
    <row r="14" spans="1:5" ht="29" customHeight="1" x14ac:dyDescent="0.35">
      <c r="A14" s="365"/>
      <c r="B14" s="104" t="s">
        <v>639</v>
      </c>
      <c r="C14" s="107" t="str">
        <f>'Rahastamiskava juuni 2025'!G53</f>
        <v>Erimeede-Rändepakt: Tõlkevõimekuse arendamine</v>
      </c>
      <c r="D14" s="75">
        <v>0</v>
      </c>
      <c r="E14" s="75">
        <v>89</v>
      </c>
    </row>
    <row r="15" spans="1:5" ht="32.5" customHeight="1" x14ac:dyDescent="0.35">
      <c r="A15" s="364" t="s">
        <v>481</v>
      </c>
      <c r="B15" s="120"/>
      <c r="C15" s="123" t="s">
        <v>588</v>
      </c>
      <c r="D15" s="121">
        <v>18</v>
      </c>
      <c r="E15" s="121">
        <v>20</v>
      </c>
    </row>
    <row r="16" spans="1:5" ht="26" customHeight="1" x14ac:dyDescent="0.35">
      <c r="A16" s="365"/>
      <c r="B16" s="104" t="s">
        <v>548</v>
      </c>
      <c r="C16" s="131" t="str">
        <f>'Rahastamiskava juuni 2025'!G20</f>
        <v xml:space="preserve">TEGEVUSTOETUS                                                      Automatiseeritud piiriületuse toimivuse tagamine piiripunktides                      </v>
      </c>
      <c r="D16" s="75">
        <v>18</v>
      </c>
      <c r="E16" s="75">
        <v>20</v>
      </c>
    </row>
    <row r="17" spans="1:5" ht="26" customHeight="1" x14ac:dyDescent="0.35">
      <c r="A17" s="364" t="s">
        <v>490</v>
      </c>
      <c r="B17" s="120"/>
      <c r="C17" s="120" t="s">
        <v>581</v>
      </c>
      <c r="D17" s="121">
        <f>D18+D19+D20</f>
        <v>1</v>
      </c>
      <c r="E17" s="121">
        <f>E18+E19+E20</f>
        <v>8</v>
      </c>
    </row>
    <row r="18" spans="1:5" ht="26" customHeight="1" x14ac:dyDescent="0.35">
      <c r="A18" s="377"/>
      <c r="B18" s="104" t="s">
        <v>549</v>
      </c>
      <c r="C18" s="107" t="str">
        <f>'Rahastamiskava juuni 2025'!G19</f>
        <v>TEGEVUSTOETUS  Seiretehnika ülalpidamine ja hooldamine välispiiril</v>
      </c>
      <c r="D18" s="75">
        <v>1</v>
      </c>
      <c r="E18" s="75">
        <v>1</v>
      </c>
    </row>
    <row r="19" spans="1:5" ht="26" customHeight="1" x14ac:dyDescent="0.35">
      <c r="A19" s="377"/>
      <c r="B19" s="105" t="s">
        <v>639</v>
      </c>
      <c r="C19" s="108" t="str">
        <f>'Rahastamiskava juuni 2025'!G51</f>
        <v>Erimeede-Rändepakt: Taustakontrolli võimekuse loomine ja teenuse pakkumine</v>
      </c>
      <c r="D19" s="106">
        <v>0</v>
      </c>
      <c r="E19" s="106">
        <v>1</v>
      </c>
    </row>
    <row r="20" spans="1:5" ht="26" customHeight="1" x14ac:dyDescent="0.35">
      <c r="A20" s="365"/>
      <c r="B20" s="104" t="s">
        <v>538</v>
      </c>
      <c r="C20" s="107" t="str">
        <f>'Rahastamiskava juuni 2025'!G43</f>
        <v>Erimeede BMVI/2024/SA/1.5.1/001.1 - EES ja ETIAS rakendamine</v>
      </c>
      <c r="D20" s="75">
        <v>0</v>
      </c>
      <c r="E20" s="75">
        <v>6</v>
      </c>
    </row>
    <row r="21" spans="1:5" ht="28.5" customHeight="1" x14ac:dyDescent="0.35">
      <c r="A21" s="116" t="s">
        <v>491</v>
      </c>
      <c r="B21" s="120"/>
      <c r="C21" s="120" t="s">
        <v>589</v>
      </c>
      <c r="D21" s="121">
        <v>0</v>
      </c>
      <c r="E21" s="121">
        <v>0</v>
      </c>
    </row>
    <row r="22" spans="1:5" ht="26" customHeight="1" x14ac:dyDescent="0.35">
      <c r="A22" s="364" t="s">
        <v>209</v>
      </c>
      <c r="B22" s="120"/>
      <c r="C22" s="120" t="s">
        <v>32</v>
      </c>
      <c r="D22" s="121">
        <v>1</v>
      </c>
      <c r="E22" s="121">
        <v>1</v>
      </c>
    </row>
    <row r="23" spans="1:5" ht="26" customHeight="1" x14ac:dyDescent="0.35">
      <c r="A23" s="377"/>
      <c r="B23" t="s">
        <v>540</v>
      </c>
      <c r="C23" s="107" t="str">
        <f>'Rahastamiskava juuni 2025'!G16</f>
        <v>VÕMMORSKI JA MAADE VAHETAMISEGA SEOTUD PIIRILÕIKUDE PROJEKTEERIMINE JA EKSPERTIIS</v>
      </c>
      <c r="D23" s="75">
        <v>1</v>
      </c>
      <c r="E23" s="75">
        <v>1</v>
      </c>
    </row>
    <row r="24" spans="1:5" ht="26" customHeight="1" x14ac:dyDescent="0.35">
      <c r="A24" s="365"/>
      <c r="B24" s="112" t="s">
        <v>535</v>
      </c>
      <c r="C24" s="132" t="str">
        <f>'Rahastamiskava juuni 2025'!G17</f>
        <v>LUHAMAA JUHTIMISPUNKTI PROJEKTEERIMINE JA EKSPERTIIS</v>
      </c>
      <c r="D24" s="113">
        <v>1</v>
      </c>
      <c r="E24" s="113">
        <v>1</v>
      </c>
    </row>
    <row r="25" spans="1:5" ht="23" customHeight="1" x14ac:dyDescent="0.35">
      <c r="A25" s="364" t="s">
        <v>210</v>
      </c>
      <c r="B25" s="120"/>
      <c r="C25" s="122" t="s">
        <v>483</v>
      </c>
      <c r="D25" s="122">
        <v>26</v>
      </c>
      <c r="E25" s="121">
        <v>26</v>
      </c>
    </row>
    <row r="26" spans="1:5" ht="23.5" customHeight="1" x14ac:dyDescent="0.35">
      <c r="A26" s="365"/>
      <c r="B26" s="104" t="s">
        <v>560</v>
      </c>
      <c r="C26" s="133" t="str">
        <f>'Rahastamiskava juuni 2025'!G10</f>
        <v>DROONIDE SOETAMINE</v>
      </c>
      <c r="D26" s="115">
        <v>26</v>
      </c>
      <c r="E26" s="75">
        <v>26</v>
      </c>
    </row>
    <row r="27" spans="1:5" ht="27.5" customHeight="1" x14ac:dyDescent="0.35">
      <c r="A27" s="364" t="s">
        <v>211</v>
      </c>
      <c r="B27" s="109"/>
      <c r="C27" s="122" t="s">
        <v>590</v>
      </c>
      <c r="D27" s="122">
        <v>26</v>
      </c>
      <c r="E27" s="121">
        <v>26</v>
      </c>
    </row>
    <row r="28" spans="1:5" ht="25" customHeight="1" x14ac:dyDescent="0.35">
      <c r="A28" s="365"/>
      <c r="B28" s="104" t="s">
        <v>560</v>
      </c>
      <c r="C28" s="133" t="str">
        <f>'Rahastamiskava juuni 2025'!G10</f>
        <v>DROONIDE SOETAMINE</v>
      </c>
      <c r="D28" s="115">
        <v>26</v>
      </c>
      <c r="E28" s="75">
        <v>26</v>
      </c>
    </row>
    <row r="29" spans="1:5" ht="24.5" customHeight="1" x14ac:dyDescent="0.35">
      <c r="A29" s="116" t="s">
        <v>212</v>
      </c>
      <c r="B29" s="109"/>
      <c r="C29" s="120" t="s">
        <v>591</v>
      </c>
      <c r="D29" s="121">
        <v>0</v>
      </c>
      <c r="E29" s="121">
        <v>0</v>
      </c>
    </row>
    <row r="30" spans="1:5" ht="26" customHeight="1" x14ac:dyDescent="0.35">
      <c r="A30" s="364" t="s">
        <v>213</v>
      </c>
      <c r="B30" s="109"/>
      <c r="C30" s="120" t="s">
        <v>28</v>
      </c>
      <c r="D30" s="121">
        <v>0</v>
      </c>
      <c r="E30" s="121">
        <f>E31+E32</f>
        <v>33</v>
      </c>
    </row>
    <row r="31" spans="1:5" ht="26" customHeight="1" x14ac:dyDescent="0.35">
      <c r="A31" s="377"/>
      <c r="B31" s="104" t="s">
        <v>551</v>
      </c>
      <c r="C31" s="107" t="str">
        <f>'Rahastamiskava juuni 2025'!G14</f>
        <v xml:space="preserve">PIIRIVALVE ja -KONTROLLI MAISMAASÕIDUKID </v>
      </c>
      <c r="D31" s="75">
        <v>0</v>
      </c>
      <c r="E31" s="75">
        <v>13</v>
      </c>
    </row>
    <row r="32" spans="1:5" ht="26" customHeight="1" x14ac:dyDescent="0.35">
      <c r="A32" s="365"/>
      <c r="B32" s="105" t="s">
        <v>555</v>
      </c>
      <c r="C32" s="108" t="str">
        <f>'Rahastamiskava juuni 2025'!G39</f>
        <v>Erimeede BMVI/2023-2024/SA/1.2.2/01 - Maismaapiiri patrullivõimekuse tõstmine</v>
      </c>
      <c r="D32" s="106">
        <v>0</v>
      </c>
      <c r="E32" s="106">
        <v>20</v>
      </c>
    </row>
    <row r="33" spans="1:6" ht="26" customHeight="1" x14ac:dyDescent="0.35">
      <c r="A33" s="379" t="s">
        <v>214</v>
      </c>
      <c r="B33" s="109"/>
      <c r="C33" s="120" t="s">
        <v>484</v>
      </c>
      <c r="D33" s="122">
        <v>347</v>
      </c>
      <c r="E33" s="121">
        <v>662</v>
      </c>
    </row>
    <row r="34" spans="1:6" ht="26" customHeight="1" x14ac:dyDescent="0.35">
      <c r="A34" s="374"/>
      <c r="B34" s="159" t="s">
        <v>558</v>
      </c>
      <c r="C34" s="107" t="str">
        <f>'Rahastamiskava juuni 2025'!G18</f>
        <v>TEGEVUSTOETUS  Seiretehnikute värbamine ja koolitamine</v>
      </c>
      <c r="D34" s="115">
        <v>2</v>
      </c>
      <c r="E34" s="75">
        <v>4</v>
      </c>
    </row>
    <row r="35" spans="1:6" ht="26" customHeight="1" x14ac:dyDescent="0.35">
      <c r="A35" s="374"/>
      <c r="B35" s="105" t="s">
        <v>544</v>
      </c>
      <c r="C35" s="108" t="str">
        <f>'Rahastamiskava juuni 2025'!G28</f>
        <v xml:space="preserve">Uute piirihaldusametnike koolitamine </v>
      </c>
      <c r="D35" s="129">
        <v>20</v>
      </c>
      <c r="E35" s="106">
        <v>20</v>
      </c>
    </row>
    <row r="36" spans="1:6" ht="26" customHeight="1" x14ac:dyDescent="0.35">
      <c r="A36" s="374"/>
      <c r="B36" s="104" t="s">
        <v>550</v>
      </c>
      <c r="C36" s="107" t="str">
        <f>'Rahastamiskava juuni 2025'!G29</f>
        <v>Kontaktametniku lähetamine Euroopa Piiri- ja Rannikuvalve Ameti juurde</v>
      </c>
      <c r="D36" s="115">
        <v>0</v>
      </c>
      <c r="E36" s="75">
        <v>1</v>
      </c>
    </row>
    <row r="37" spans="1:6" ht="26" customHeight="1" x14ac:dyDescent="0.35">
      <c r="A37" s="374"/>
      <c r="B37" s="105" t="s">
        <v>559</v>
      </c>
      <c r="C37" s="108" t="str">
        <f>'Rahastamiskava juuni 2025'!G30</f>
        <v>Piirihaldust tagavate ametnike koolitamine</v>
      </c>
      <c r="D37" s="129">
        <v>345</v>
      </c>
      <c r="E37" s="106">
        <v>345</v>
      </c>
    </row>
    <row r="38" spans="1:6" ht="26" customHeight="1" x14ac:dyDescent="0.35">
      <c r="A38" s="374"/>
      <c r="B38" s="104" t="s">
        <v>542</v>
      </c>
      <c r="C38" s="107" t="str">
        <f>'Rahastamiskava juuni 2025'!G31</f>
        <v>Tolliametnike piirikontrollilased koolitused</v>
      </c>
      <c r="D38" s="115">
        <v>20</v>
      </c>
      <c r="E38" s="75">
        <v>50</v>
      </c>
    </row>
    <row r="39" spans="1:6" ht="26" customHeight="1" x14ac:dyDescent="0.35">
      <c r="A39" s="374"/>
      <c r="B39" s="105" t="s">
        <v>562</v>
      </c>
      <c r="C39" s="108" t="str">
        <f>'Rahastamiskava juuni 2025'!G33</f>
        <v>Erimeede BMVI/2021-2022/SA/1.2.1/003 - Autonoomse ja mobiilse kaugseire võimekuse tõstmine</v>
      </c>
      <c r="D39" s="129">
        <v>0</v>
      </c>
      <c r="E39" s="106">
        <v>6</v>
      </c>
    </row>
    <row r="40" spans="1:6" ht="26" customHeight="1" x14ac:dyDescent="0.35">
      <c r="A40" s="374"/>
      <c r="B40" s="104" t="s">
        <v>543</v>
      </c>
      <c r="C40" s="107" t="str">
        <f>'Rahastamiskava juuni 2025'!G35</f>
        <v>Erimeede BMVI/2021/SA/1.5.4/008 - Koostalitlusvõime määruse rakendamise toetamine</v>
      </c>
      <c r="D40" s="115">
        <v>0</v>
      </c>
      <c r="E40" s="75">
        <v>140</v>
      </c>
    </row>
    <row r="41" spans="1:6" ht="26" customHeight="1" x14ac:dyDescent="0.35">
      <c r="A41" s="374"/>
      <c r="B41" s="105" t="s">
        <v>538</v>
      </c>
      <c r="C41" s="108" t="str">
        <f>'Rahastamiskava juuni 2025'!G43</f>
        <v>Erimeede BMVI/2024/SA/1.5.1/001.1 - EES ja ETIAS rakendamine</v>
      </c>
      <c r="D41" s="129">
        <v>0</v>
      </c>
      <c r="E41" s="218">
        <v>50</v>
      </c>
    </row>
    <row r="42" spans="1:6" ht="26" customHeight="1" x14ac:dyDescent="0.35">
      <c r="A42" s="374"/>
      <c r="B42" s="104" t="s">
        <v>537</v>
      </c>
      <c r="C42" s="107" t="str">
        <f>'Rahastamiskava juuni 2025'!G45</f>
        <v>Erimeede BMVI/2024/SA/1.5.1/001.2 - SIS iSPOC DEBS (ETIAS)</v>
      </c>
      <c r="D42" s="115">
        <v>0</v>
      </c>
      <c r="E42" s="219">
        <v>50</v>
      </c>
    </row>
    <row r="43" spans="1:6" ht="26" customHeight="1" x14ac:dyDescent="0.35">
      <c r="A43" s="374"/>
      <c r="B43" s="105" t="s">
        <v>546</v>
      </c>
      <c r="C43" s="108" t="str">
        <f>'Rahastamiskava juuni 2025'!G49</f>
        <v>Erimeede BMVI/2024/SA/1.1.5/001 - Mitmekihilise droonituvastuse- ja -tõrjepositsiooni piloteerimine</v>
      </c>
      <c r="D43" s="129">
        <v>0</v>
      </c>
      <c r="E43" s="106">
        <v>6</v>
      </c>
    </row>
    <row r="44" spans="1:6" ht="26" customHeight="1" x14ac:dyDescent="0.35">
      <c r="A44" s="374"/>
      <c r="B44" s="119" t="s">
        <v>639</v>
      </c>
      <c r="C44" s="134" t="str">
        <f>'Rahastamiskava juuni 2025'!G51</f>
        <v>Erimeede-Rändepakt: Taustakontrolli võimekuse loomine ja teenuse pakkumine</v>
      </c>
      <c r="D44" s="161">
        <v>0</v>
      </c>
      <c r="E44" s="162">
        <v>10</v>
      </c>
    </row>
    <row r="45" spans="1:6" ht="24.5" customHeight="1" x14ac:dyDescent="0.35">
      <c r="A45" s="364" t="s">
        <v>492</v>
      </c>
      <c r="B45" s="120"/>
      <c r="C45" s="123" t="s">
        <v>587</v>
      </c>
      <c r="D45" s="122">
        <v>347</v>
      </c>
      <c r="E45" s="121">
        <v>650</v>
      </c>
    </row>
    <row r="46" spans="1:6" ht="25.5" customHeight="1" x14ac:dyDescent="0.35">
      <c r="A46" s="377"/>
      <c r="B46" s="104" t="s">
        <v>558</v>
      </c>
      <c r="C46" s="131" t="str">
        <f>'Rahastamiskava juuni 2025'!G18</f>
        <v>TEGEVUSTOETUS  Seiretehnikute värbamine ja koolitamine</v>
      </c>
      <c r="D46" s="115">
        <v>2</v>
      </c>
      <c r="E46" s="75">
        <v>4</v>
      </c>
    </row>
    <row r="47" spans="1:6" ht="23" customHeight="1" x14ac:dyDescent="0.35">
      <c r="A47" s="377"/>
      <c r="B47" s="105" t="s">
        <v>544</v>
      </c>
      <c r="C47" s="135" t="str">
        <f>'Rahastamiskava juuni 2025'!G28</f>
        <v xml:space="preserve">Uute piirihaldusametnike koolitamine </v>
      </c>
      <c r="D47" s="129">
        <v>20</v>
      </c>
      <c r="E47" s="106">
        <v>20</v>
      </c>
      <c r="F47" s="103"/>
    </row>
    <row r="48" spans="1:6" ht="23" customHeight="1" x14ac:dyDescent="0.35">
      <c r="A48" s="377"/>
      <c r="B48" s="104" t="s">
        <v>559</v>
      </c>
      <c r="C48" s="131" t="str">
        <f>'Rahastamiskava juuni 2025'!G30</f>
        <v>Piirihaldust tagavate ametnike koolitamine</v>
      </c>
      <c r="D48" s="115">
        <v>345</v>
      </c>
      <c r="E48" s="75">
        <v>345</v>
      </c>
    </row>
    <row r="49" spans="1:6" ht="23" customHeight="1" x14ac:dyDescent="0.35">
      <c r="A49" s="377"/>
      <c r="B49" s="105" t="s">
        <v>542</v>
      </c>
      <c r="C49" s="135" t="str">
        <f>'Rahastamiskava juuni 2025'!G31</f>
        <v>Tolliametnike piirikontrollilased koolitused</v>
      </c>
      <c r="D49" s="129">
        <v>20</v>
      </c>
      <c r="E49" s="106">
        <v>50</v>
      </c>
    </row>
    <row r="50" spans="1:6" ht="31.5" customHeight="1" x14ac:dyDescent="0.35">
      <c r="A50" s="377"/>
      <c r="B50" s="104" t="s">
        <v>543</v>
      </c>
      <c r="C50" s="131" t="str">
        <f>'Rahastamiskava juuni 2025'!G35</f>
        <v>Erimeede BMVI/2021/SA/1.5.4/008 - Koostalitlusvõime määruse rakendamise toetamine</v>
      </c>
      <c r="D50" s="115">
        <v>0</v>
      </c>
      <c r="E50" s="75">
        <v>140</v>
      </c>
    </row>
    <row r="51" spans="1:6" ht="26" customHeight="1" x14ac:dyDescent="0.35">
      <c r="A51" s="377"/>
      <c r="B51" s="105" t="s">
        <v>538</v>
      </c>
      <c r="C51" s="135" t="str">
        <f>'Rahastamiskava juuni 2025'!G43</f>
        <v>Erimeede BMVI/2024/SA/1.5.1/001.1 - EES ja ETIAS rakendamine</v>
      </c>
      <c r="D51" s="129">
        <v>0</v>
      </c>
      <c r="E51" s="218">
        <v>50</v>
      </c>
    </row>
    <row r="52" spans="1:6" ht="27" customHeight="1" x14ac:dyDescent="0.35">
      <c r="A52" s="377"/>
      <c r="B52" s="104" t="s">
        <v>537</v>
      </c>
      <c r="C52" s="131" t="str">
        <f>'Rahastamiskava juuni 2025'!G45</f>
        <v>Erimeede BMVI/2024/SA/1.5.1/001.2 - SIS iSPOC DEBS (ETIAS)</v>
      </c>
      <c r="D52" s="115">
        <v>0</v>
      </c>
      <c r="E52" s="219">
        <v>50</v>
      </c>
    </row>
    <row r="53" spans="1:6" ht="33" customHeight="1" x14ac:dyDescent="0.35">
      <c r="A53" s="365"/>
      <c r="B53" s="105" t="s">
        <v>546</v>
      </c>
      <c r="C53" s="135" t="str">
        <f>'Rahastamiskava juuni 2025'!G49</f>
        <v>Erimeede BMVI/2024/SA/1.1.5/001 - Mitmekihilise droonituvastuse- ja -tõrjepositsiooni piloteerimine</v>
      </c>
      <c r="D53" s="129">
        <v>0</v>
      </c>
      <c r="E53" s="106">
        <v>6</v>
      </c>
    </row>
    <row r="54" spans="1:6" ht="33" customHeight="1" x14ac:dyDescent="0.35">
      <c r="A54" s="118"/>
      <c r="B54" s="104" t="s">
        <v>562</v>
      </c>
      <c r="C54" s="131" t="str">
        <f>'Rahastamiskava juuni 2025'!G33</f>
        <v>Erimeede BMVI/2021-2022/SA/1.2.1/003 - Autonoomse ja mobiilse kaugseire võimekuse tõstmine</v>
      </c>
      <c r="D54" s="115">
        <v>0</v>
      </c>
      <c r="E54" s="75">
        <v>4</v>
      </c>
    </row>
    <row r="55" spans="1:6" ht="33" customHeight="1" x14ac:dyDescent="0.35">
      <c r="A55" s="116" t="s">
        <v>216</v>
      </c>
      <c r="B55" s="109"/>
      <c r="C55" s="120" t="s">
        <v>592</v>
      </c>
      <c r="D55" s="122">
        <v>0</v>
      </c>
      <c r="E55" s="121">
        <v>0</v>
      </c>
    </row>
    <row r="56" spans="1:6" ht="29" customHeight="1" x14ac:dyDescent="0.35">
      <c r="A56" s="364" t="s">
        <v>217</v>
      </c>
      <c r="B56" s="109"/>
      <c r="C56" s="120" t="s">
        <v>579</v>
      </c>
      <c r="D56" s="122">
        <v>4</v>
      </c>
      <c r="E56" s="121">
        <f>E57+E58+E59+E60+E61+E62+E63</f>
        <v>25</v>
      </c>
    </row>
    <row r="57" spans="1:6" ht="26.5" customHeight="1" x14ac:dyDescent="0.35">
      <c r="A57" s="377"/>
      <c r="B57" s="104" t="s">
        <v>553</v>
      </c>
      <c r="C57" s="107" t="str">
        <f>'Rahastamiskava juuni 2025'!G21</f>
        <v>SIRENE töövoo süsteemi (iSpoC), Schengeni infosüsteemi (ESIS, ESIS_ADMIN) ja Interlyysi arendamine</v>
      </c>
      <c r="D57" s="115">
        <v>1</v>
      </c>
      <c r="E57" s="75">
        <v>6</v>
      </c>
    </row>
    <row r="58" spans="1:6" ht="35.5" customHeight="1" x14ac:dyDescent="0.35">
      <c r="A58" s="377"/>
      <c r="B58" s="105" t="s">
        <v>543</v>
      </c>
      <c r="C58" s="108" t="str">
        <f>'Rahastamiskava juuni 2025'!G35</f>
        <v>Erimeede BMVI/2021/SA/1.5.4/008 - Koostalitlusvõime määruse rakendamise toetamine</v>
      </c>
      <c r="D58" s="129">
        <v>1</v>
      </c>
      <c r="E58" s="106">
        <v>2</v>
      </c>
    </row>
    <row r="59" spans="1:6" ht="22" customHeight="1" x14ac:dyDescent="0.35">
      <c r="A59" s="377"/>
      <c r="B59" s="104" t="s">
        <v>538</v>
      </c>
      <c r="C59" s="107" t="str">
        <f>'Rahastamiskava juuni 2025'!G43</f>
        <v>Erimeede BMVI/2024/SA/1.5.1/001.1 - EES ja ETIAS rakendamine</v>
      </c>
      <c r="D59" s="115">
        <v>0</v>
      </c>
      <c r="E59" s="75">
        <v>5</v>
      </c>
    </row>
    <row r="60" spans="1:6" ht="27" customHeight="1" x14ac:dyDescent="0.35">
      <c r="A60" s="377"/>
      <c r="B60" s="105" t="s">
        <v>537</v>
      </c>
      <c r="C60" s="108" t="str">
        <f>'Rahastamiskava juuni 2025'!G45</f>
        <v>Erimeede BMVI/2024/SA/1.5.1/001.2 - SIS iSPOC DEBS (ETIAS)</v>
      </c>
      <c r="D60" s="129">
        <v>0</v>
      </c>
      <c r="E60" s="106">
        <v>1</v>
      </c>
    </row>
    <row r="61" spans="1:6" ht="27" customHeight="1" x14ac:dyDescent="0.35">
      <c r="A61" s="377"/>
      <c r="B61" s="104" t="s">
        <v>666</v>
      </c>
      <c r="C61" s="107" t="str">
        <f>'Rahastamiskava juuni 2025'!G47</f>
        <v>Erimeede BMVI/2024/SA/1.4.2/002 - Piirivalvevõimekuse suurendamine välispiiril</v>
      </c>
      <c r="D61" s="115">
        <v>0</v>
      </c>
      <c r="E61" s="75">
        <v>2</v>
      </c>
    </row>
    <row r="62" spans="1:6" ht="35.5" customHeight="1" x14ac:dyDescent="0.35">
      <c r="A62" s="377"/>
      <c r="B62" s="163" t="s">
        <v>639</v>
      </c>
      <c r="C62" s="108" t="str">
        <f>'Rahastamiskava juuni 2025'!G52</f>
        <v>Erimeede-Rändepakt:Infovahetuse tõhustamine taustakontrollis ja piirimenetluses</v>
      </c>
      <c r="D62" s="129">
        <v>0</v>
      </c>
      <c r="E62" s="106">
        <v>8</v>
      </c>
    </row>
    <row r="63" spans="1:6" ht="35.5" customHeight="1" x14ac:dyDescent="0.35">
      <c r="A63" s="365"/>
      <c r="B63" s="104" t="s">
        <v>639</v>
      </c>
      <c r="C63" s="107" t="str">
        <f>'Rahastamiskava juuni 2025'!G53</f>
        <v>Erimeede-Rändepakt: Tõlkevõimekuse arendamine</v>
      </c>
      <c r="D63" s="115">
        <v>0</v>
      </c>
      <c r="E63" s="75">
        <v>1</v>
      </c>
    </row>
    <row r="64" spans="1:6" ht="39.5" customHeight="1" x14ac:dyDescent="0.35">
      <c r="A64" s="364" t="s">
        <v>218</v>
      </c>
      <c r="B64" s="109"/>
      <c r="C64" s="120" t="s">
        <v>485</v>
      </c>
      <c r="D64" s="122">
        <v>4</v>
      </c>
      <c r="E64" s="121">
        <v>4</v>
      </c>
      <c r="F64" s="101" t="s">
        <v>722</v>
      </c>
    </row>
    <row r="65" spans="1:6" ht="27.5" customHeight="1" x14ac:dyDescent="0.35">
      <c r="A65" s="377"/>
      <c r="B65" s="104" t="s">
        <v>553</v>
      </c>
      <c r="C65" s="107" t="str">
        <f>'Rahastamiskava juuni 2025'!G21</f>
        <v>SIRENE töövoo süsteemi (iSpoC), Schengeni infosüsteemi (ESIS, ESIS_ADMIN) ja Interlyysi arendamine</v>
      </c>
      <c r="D65" s="358"/>
      <c r="E65" s="361"/>
    </row>
    <row r="66" spans="1:6" ht="21.5" customHeight="1" x14ac:dyDescent="0.35">
      <c r="A66" s="377"/>
      <c r="B66" s="105" t="s">
        <v>561</v>
      </c>
      <c r="C66" s="108" t="str">
        <f>'Rahastamiskava juuni 2025'!G22</f>
        <v>InterOperability ehk koostalitlusvõime arendamine Eestis</v>
      </c>
      <c r="D66" s="359"/>
      <c r="E66" s="362"/>
    </row>
    <row r="67" spans="1:6" ht="20" customHeight="1" x14ac:dyDescent="0.35">
      <c r="A67" s="377"/>
      <c r="B67" s="104" t="s">
        <v>539</v>
      </c>
      <c r="C67" s="107" t="str">
        <f>'Rahastamiskava juuni 2025'!G23</f>
        <v xml:space="preserve">TEGEVUSTOETUS  EL infosüsteemide andmekeskuse rent                             </v>
      </c>
      <c r="D67" s="359"/>
      <c r="E67" s="362"/>
    </row>
    <row r="68" spans="1:6" ht="20.5" customHeight="1" x14ac:dyDescent="0.35">
      <c r="A68" s="377"/>
      <c r="B68" s="105" t="s">
        <v>556</v>
      </c>
      <c r="C68" s="108" t="str">
        <f>'Rahastamiskava juuni 2025'!G24</f>
        <v>ETIAS riiklik üksus (enne ETIAS live'i)</v>
      </c>
      <c r="D68" s="359"/>
      <c r="E68" s="362"/>
    </row>
    <row r="69" spans="1:6" ht="26.5" customHeight="1" x14ac:dyDescent="0.35">
      <c r="A69" s="377"/>
      <c r="B69" s="104" t="s">
        <v>667</v>
      </c>
      <c r="C69" s="107" t="str">
        <f>'Rahastamiskava juuni 2025'!G25</f>
        <v>ETIAS riiklik üksus (pärast ETIAS live'i)</v>
      </c>
      <c r="D69" s="359"/>
      <c r="E69" s="362"/>
    </row>
    <row r="70" spans="1:6" ht="26" customHeight="1" x14ac:dyDescent="0.35">
      <c r="A70" s="377"/>
      <c r="B70" s="105" t="s">
        <v>552</v>
      </c>
      <c r="C70" s="108" t="str">
        <f>'Rahastamiskava juuni 2025'!G26</f>
        <v xml:space="preserve">TEGEVUSTOETUS  EKSPO rakenduse ülalhoidmine ja jätkuarendused                  </v>
      </c>
      <c r="D70" s="359"/>
      <c r="E70" s="362"/>
    </row>
    <row r="71" spans="1:6" ht="30.5" customHeight="1" x14ac:dyDescent="0.35">
      <c r="A71" s="377"/>
      <c r="B71" s="104" t="s">
        <v>541</v>
      </c>
      <c r="C71" s="107" t="str">
        <f>'Rahastamiskava juuni 2025'!G27</f>
        <v>TEGEVUSTOETUS                                                   ELi infosüsteemide koordineerimine</v>
      </c>
      <c r="D71" s="359"/>
      <c r="E71" s="362"/>
    </row>
    <row r="72" spans="1:6" ht="29" customHeight="1" x14ac:dyDescent="0.35">
      <c r="A72" s="377"/>
      <c r="B72" s="105" t="s">
        <v>543</v>
      </c>
      <c r="C72" s="108" t="str">
        <f>'Rahastamiskava juuni 2025'!G35</f>
        <v>Erimeede BMVI/2021/SA/1.5.4/008 - Koostalitlusvõime määruse rakendamise toetamine</v>
      </c>
      <c r="D72" s="359"/>
      <c r="E72" s="362"/>
    </row>
    <row r="73" spans="1:6" ht="24.5" customHeight="1" x14ac:dyDescent="0.35">
      <c r="A73" s="377"/>
      <c r="B73" s="160" t="s">
        <v>536</v>
      </c>
      <c r="C73" s="107" t="str">
        <f>'Rahastamiskava juuni 2025'!G37</f>
        <v>Erimeede BMVI/2021/SA/1.5.7/003 - iSPoC + analüüs</v>
      </c>
      <c r="D73" s="359"/>
      <c r="E73" s="362"/>
    </row>
    <row r="74" spans="1:6" ht="25" customHeight="1" x14ac:dyDescent="0.35">
      <c r="A74" s="377"/>
      <c r="B74" s="75" t="s">
        <v>538</v>
      </c>
      <c r="C74" s="108" t="str">
        <f>'Rahastamiskava juuni 2025'!G43</f>
        <v>Erimeede BMVI/2024/SA/1.5.1/001.1 - EES ja ETIAS rakendamine</v>
      </c>
      <c r="D74" s="359"/>
      <c r="E74" s="362"/>
    </row>
    <row r="75" spans="1:6" ht="29" customHeight="1" x14ac:dyDescent="0.35">
      <c r="A75" s="365"/>
      <c r="B75" s="75" t="s">
        <v>537</v>
      </c>
      <c r="C75" s="107" t="str">
        <f>'Rahastamiskava juuni 2025'!G45</f>
        <v>Erimeede BMVI/2024/SA/1.5.1/001.2 - SIS iSPOC DEBS (ETIAS)</v>
      </c>
      <c r="D75" s="360"/>
      <c r="E75" s="363"/>
    </row>
    <row r="76" spans="1:6" ht="44" customHeight="1" x14ac:dyDescent="0.35">
      <c r="A76" s="364" t="s">
        <v>219</v>
      </c>
      <c r="B76" s="109"/>
      <c r="C76" s="123" t="s">
        <v>580</v>
      </c>
      <c r="D76" s="122">
        <v>1</v>
      </c>
      <c r="E76" s="121">
        <v>1</v>
      </c>
      <c r="F76" s="148" t="s">
        <v>566</v>
      </c>
    </row>
    <row r="77" spans="1:6" ht="23.5" customHeight="1" x14ac:dyDescent="0.35">
      <c r="A77" s="377"/>
      <c r="B77" s="104" t="s">
        <v>561</v>
      </c>
      <c r="C77" s="111" t="str">
        <f>'Rahastamiskava juuni 2025'!G22</f>
        <v>InterOperability ehk koostalitlusvõime arendamine Eestis</v>
      </c>
      <c r="D77" s="358"/>
      <c r="E77" s="361"/>
    </row>
    <row r="78" spans="1:6" ht="31" customHeight="1" x14ac:dyDescent="0.35">
      <c r="A78" s="377"/>
      <c r="B78" s="105" t="s">
        <v>543</v>
      </c>
      <c r="C78" s="128" t="str">
        <f>'Rahastamiskava juuni 2025'!G35</f>
        <v>Erimeede BMVI/2021/SA/1.5.4/008 - Koostalitlusvõime määruse rakendamise toetamine</v>
      </c>
      <c r="D78" s="359"/>
      <c r="E78" s="362"/>
    </row>
    <row r="79" spans="1:6" x14ac:dyDescent="0.35">
      <c r="A79" s="116" t="s">
        <v>220</v>
      </c>
      <c r="B79" s="109"/>
      <c r="C79" s="109" t="s">
        <v>486</v>
      </c>
      <c r="D79" s="114">
        <v>0</v>
      </c>
      <c r="E79" s="110">
        <v>0</v>
      </c>
    </row>
    <row r="80" spans="1:6" ht="32" customHeight="1" x14ac:dyDescent="0.35">
      <c r="A80" s="116" t="s">
        <v>221</v>
      </c>
      <c r="B80" s="109"/>
      <c r="C80" s="109" t="s">
        <v>487</v>
      </c>
      <c r="D80" s="114">
        <v>96</v>
      </c>
      <c r="E80" s="110">
        <v>256</v>
      </c>
    </row>
    <row r="81" spans="1:6" ht="29" customHeight="1" x14ac:dyDescent="0.35">
      <c r="A81" s="378" t="s">
        <v>497</v>
      </c>
      <c r="B81" s="378"/>
      <c r="C81" s="378"/>
    </row>
    <row r="82" spans="1:6" ht="29" x14ac:dyDescent="0.35">
      <c r="A82" s="364" t="s">
        <v>222</v>
      </c>
      <c r="B82" s="120"/>
      <c r="C82" s="120" t="s">
        <v>593</v>
      </c>
      <c r="D82" s="136" t="s">
        <v>302</v>
      </c>
      <c r="E82" s="121">
        <f>E83+E84+E85+E86</f>
        <v>63</v>
      </c>
    </row>
    <row r="83" spans="1:6" x14ac:dyDescent="0.35">
      <c r="A83" s="377"/>
      <c r="B83" s="104" t="s">
        <v>560</v>
      </c>
      <c r="C83" s="104" t="str">
        <f>'Rahastamiskava juuni 2025'!G10</f>
        <v>DROONIDE SOETAMINE</v>
      </c>
      <c r="D83" s="137" t="s">
        <v>302</v>
      </c>
      <c r="E83" s="75">
        <v>26</v>
      </c>
    </row>
    <row r="84" spans="1:6" x14ac:dyDescent="0.35">
      <c r="A84" s="377"/>
      <c r="B84" s="105" t="s">
        <v>551</v>
      </c>
      <c r="C84" s="105" t="str">
        <f>'Rahastamiskava juuni 2025'!G14</f>
        <v xml:space="preserve">PIIRIVALVE ja -KONTROLLI MAISMAASÕIDUKID </v>
      </c>
      <c r="D84" s="138" t="s">
        <v>302</v>
      </c>
      <c r="E84" s="106">
        <v>13</v>
      </c>
    </row>
    <row r="85" spans="1:6" ht="29" x14ac:dyDescent="0.35">
      <c r="A85" s="365"/>
      <c r="B85" s="104" t="s">
        <v>555</v>
      </c>
      <c r="C85" s="104" t="str">
        <f>'Rahastamiskava juuni 2025'!G39</f>
        <v>Erimeede BMVI/2023-2024/SA/1.2.2/01 - Maismaapiiri patrullivõimekuse tõstmine</v>
      </c>
      <c r="D85" s="137" t="s">
        <v>302</v>
      </c>
      <c r="E85" s="75">
        <v>20</v>
      </c>
    </row>
    <row r="86" spans="1:6" ht="29" x14ac:dyDescent="0.35">
      <c r="A86" s="117"/>
      <c r="B86" s="105" t="s">
        <v>562</v>
      </c>
      <c r="C86" s="105" t="str">
        <f>'Rahastamiskava juuni 2025'!G33</f>
        <v>Erimeede BMVI/2021-2022/SA/1.2.1/003 - Autonoomse ja mobiilse kaugseire võimekuse tõstmine</v>
      </c>
      <c r="D86" s="138" t="s">
        <v>302</v>
      </c>
      <c r="E86" s="106">
        <v>4</v>
      </c>
    </row>
    <row r="87" spans="1:6" ht="29" x14ac:dyDescent="0.35">
      <c r="A87" s="364" t="s">
        <v>223</v>
      </c>
      <c r="B87" s="109"/>
      <c r="C87" s="120" t="s">
        <v>594</v>
      </c>
      <c r="D87" s="136" t="s">
        <v>302</v>
      </c>
      <c r="E87" s="121">
        <v>63</v>
      </c>
    </row>
    <row r="88" spans="1:6" x14ac:dyDescent="0.35">
      <c r="A88" s="377"/>
      <c r="B88" s="104" t="s">
        <v>560</v>
      </c>
      <c r="C88" s="104" t="str">
        <f>'Rahastamiskava juuni 2025'!G10</f>
        <v>DROONIDE SOETAMINE</v>
      </c>
      <c r="D88" s="137" t="s">
        <v>302</v>
      </c>
      <c r="E88" s="75">
        <v>26</v>
      </c>
    </row>
    <row r="89" spans="1:6" x14ac:dyDescent="0.35">
      <c r="A89" s="377"/>
      <c r="B89" s="105" t="s">
        <v>551</v>
      </c>
      <c r="C89" s="105" t="str">
        <f>'Rahastamiskava juuni 2025'!G14</f>
        <v xml:space="preserve">PIIRIVALVE ja -KONTROLLI MAISMAASÕIDUKID </v>
      </c>
      <c r="D89" s="138" t="s">
        <v>302</v>
      </c>
      <c r="E89" s="106">
        <v>13</v>
      </c>
    </row>
    <row r="90" spans="1:6" ht="29" x14ac:dyDescent="0.35">
      <c r="A90" s="377"/>
      <c r="B90" s="104" t="s">
        <v>555</v>
      </c>
      <c r="C90" s="104" t="str">
        <f>'Rahastamiskava juuni 2025'!G39</f>
        <v>Erimeede BMVI/2023-2024/SA/1.2.2/01 - Maismaapiiri patrullivõimekuse tõstmine</v>
      </c>
      <c r="D90" s="137" t="s">
        <v>302</v>
      </c>
      <c r="E90" s="75">
        <v>20</v>
      </c>
    </row>
    <row r="91" spans="1:6" ht="35.5" customHeight="1" x14ac:dyDescent="0.35">
      <c r="A91" s="365"/>
      <c r="B91" s="105" t="s">
        <v>562</v>
      </c>
      <c r="C91" s="105" t="str">
        <f>'Rahastamiskava juuni 2025'!G33</f>
        <v>Erimeede BMVI/2021-2022/SA/1.2.1/003 - Autonoomse ja mobiilse kaugseire võimekuse tõstmine</v>
      </c>
      <c r="D91" s="138" t="s">
        <v>302</v>
      </c>
      <c r="E91" s="106">
        <v>4</v>
      </c>
    </row>
    <row r="92" spans="1:6" ht="43.5" x14ac:dyDescent="0.35">
      <c r="A92" s="116" t="s">
        <v>224</v>
      </c>
      <c r="B92" s="109"/>
      <c r="C92" s="120" t="s">
        <v>595</v>
      </c>
      <c r="D92" s="139" t="s">
        <v>302</v>
      </c>
      <c r="E92" s="121">
        <v>0</v>
      </c>
    </row>
    <row r="93" spans="1:6" ht="29" x14ac:dyDescent="0.35">
      <c r="A93" s="116" t="s">
        <v>225</v>
      </c>
      <c r="B93" s="109"/>
      <c r="C93" s="120" t="s">
        <v>596</v>
      </c>
      <c r="D93" s="139" t="s">
        <v>302</v>
      </c>
      <c r="E93" s="121">
        <v>2200000</v>
      </c>
    </row>
    <row r="94" spans="1:6" ht="43.5" x14ac:dyDescent="0.35">
      <c r="A94" s="376" t="s">
        <v>226</v>
      </c>
      <c r="B94" s="109"/>
      <c r="C94" s="120" t="s">
        <v>118</v>
      </c>
      <c r="D94" s="139" t="s">
        <v>302</v>
      </c>
      <c r="E94" s="140">
        <v>1</v>
      </c>
      <c r="F94" t="s">
        <v>747</v>
      </c>
    </row>
    <row r="95" spans="1:6" ht="31" customHeight="1" x14ac:dyDescent="0.35">
      <c r="A95" s="376"/>
      <c r="B95" s="104" t="s">
        <v>547</v>
      </c>
      <c r="C95" s="104" t="str">
        <f>'Rahastamiskava juuni 2025'!G11</f>
        <v>Maismaavarustuse soetamine ja paigaldamine piirilõikudele 4-6</v>
      </c>
      <c r="D95" s="141"/>
      <c r="E95" s="142"/>
    </row>
    <row r="96" spans="1:6" ht="33.5" customHeight="1" x14ac:dyDescent="0.35">
      <c r="A96" s="376"/>
      <c r="B96" s="112" t="s">
        <v>545</v>
      </c>
      <c r="C96" s="112" t="str">
        <f>'Rahastamiskava juuni 2025'!G12</f>
        <v>Maismaavarustuse soetamine ja paigaldamine piirilõikudele 1-3, 7 ja 8</v>
      </c>
      <c r="D96" s="143"/>
      <c r="E96" s="144"/>
    </row>
    <row r="97" spans="1:5" ht="35.5" customHeight="1" x14ac:dyDescent="0.35">
      <c r="A97" s="376"/>
      <c r="B97" s="104" t="s">
        <v>668</v>
      </c>
      <c r="C97" s="104" t="str">
        <f>'Rahastamiskava juuni 2025'!G13</f>
        <v>Maismaavarustuse soetamine ja paigaldamine piirilõikudele 9-11</v>
      </c>
      <c r="D97" s="141"/>
      <c r="E97" s="142"/>
    </row>
    <row r="98" spans="1:5" ht="29" customHeight="1" x14ac:dyDescent="0.35">
      <c r="A98" s="376"/>
      <c r="B98" s="112" t="s">
        <v>548</v>
      </c>
      <c r="C98" s="112" t="str">
        <f>'Rahastamiskava juuni 2025'!G20</f>
        <v xml:space="preserve">TEGEVUSTOETUS                                                      Automatiseeritud piiriületuse toimivuse tagamine piiripunktides                      </v>
      </c>
      <c r="D98" s="143"/>
      <c r="E98" s="144"/>
    </row>
    <row r="99" spans="1:5" ht="29" customHeight="1" x14ac:dyDescent="0.35">
      <c r="A99" s="376"/>
      <c r="B99" s="112" t="s">
        <v>546</v>
      </c>
      <c r="C99" s="112" t="str">
        <f>'Rahastamiskava juuni 2025'!G49</f>
        <v>Erimeede BMVI/2024/SA/1.1.5/001 - Mitmekihilise droonituvastuse- ja -tõrjepositsiooni piloteerimine</v>
      </c>
      <c r="D99" s="143"/>
      <c r="E99" s="144"/>
    </row>
    <row r="100" spans="1:5" ht="29" customHeight="1" x14ac:dyDescent="0.35">
      <c r="A100" s="376"/>
      <c r="B100" s="112" t="s">
        <v>666</v>
      </c>
      <c r="C100" s="112" t="str">
        <f>'Rahastamiskava juuni 2025'!G47</f>
        <v>Erimeede BMVI/2024/SA/1.4.2/002 - Piirivalvevõimekuse suurendamine välispiiril</v>
      </c>
      <c r="D100" s="143"/>
      <c r="E100" s="144"/>
    </row>
    <row r="101" spans="1:5" ht="29" x14ac:dyDescent="0.35">
      <c r="A101" s="376"/>
      <c r="B101" s="104" t="s">
        <v>553</v>
      </c>
      <c r="C101" s="104" t="str">
        <f>'Rahastamiskava juuni 2025'!G21</f>
        <v>SIRENE töövoo süsteemi (iSpoC), Schengeni infosüsteemi (ESIS, ESIS_ADMIN) ja Interlyysi arendamine</v>
      </c>
      <c r="D101" s="141"/>
      <c r="E101" s="142"/>
    </row>
    <row r="102" spans="1:5" ht="29" x14ac:dyDescent="0.35">
      <c r="A102" s="374" t="s">
        <v>227</v>
      </c>
      <c r="B102" s="109"/>
      <c r="C102" s="120" t="s">
        <v>586</v>
      </c>
      <c r="D102" s="139" t="s">
        <v>302</v>
      </c>
      <c r="E102" s="121">
        <v>540</v>
      </c>
    </row>
    <row r="103" spans="1:5" x14ac:dyDescent="0.35">
      <c r="A103" s="374"/>
      <c r="B103" s="104" t="s">
        <v>558</v>
      </c>
      <c r="C103" s="104" t="str">
        <f>'Rahastamiskava juuni 2025'!G18</f>
        <v>TEGEVUSTOETUS  Seiretehnikute värbamine ja koolitamine</v>
      </c>
      <c r="D103" s="141" t="s">
        <v>302</v>
      </c>
      <c r="E103" s="75">
        <v>4</v>
      </c>
    </row>
    <row r="104" spans="1:5" x14ac:dyDescent="0.35">
      <c r="A104" s="374"/>
      <c r="B104" s="145" t="s">
        <v>544</v>
      </c>
      <c r="C104" s="145" t="str">
        <f>'Rahastamiskava juuni 2025'!G28</f>
        <v xml:space="preserve">Uute piirihaldusametnike koolitamine </v>
      </c>
      <c r="D104" s="146" t="s">
        <v>302</v>
      </c>
      <c r="E104" s="147">
        <v>20</v>
      </c>
    </row>
    <row r="105" spans="1:5" x14ac:dyDescent="0.35">
      <c r="A105" s="374"/>
      <c r="B105" s="104" t="s">
        <v>559</v>
      </c>
      <c r="C105" s="104" t="str">
        <f>'Rahastamiskava juuni 2025'!G30</f>
        <v>Piirihaldust tagavate ametnike koolitamine</v>
      </c>
      <c r="D105" s="141" t="s">
        <v>302</v>
      </c>
      <c r="E105" s="75">
        <v>238</v>
      </c>
    </row>
    <row r="106" spans="1:5" x14ac:dyDescent="0.35">
      <c r="A106" s="374"/>
      <c r="B106" s="145" t="s">
        <v>542</v>
      </c>
      <c r="C106" s="145" t="str">
        <f>'Rahastamiskava juuni 2025'!G31</f>
        <v>Tolliametnike piirikontrollilased koolitused</v>
      </c>
      <c r="D106" s="146" t="s">
        <v>302</v>
      </c>
      <c r="E106" s="147">
        <v>50</v>
      </c>
    </row>
    <row r="107" spans="1:5" ht="29" x14ac:dyDescent="0.35">
      <c r="A107" s="374"/>
      <c r="B107" s="104" t="s">
        <v>562</v>
      </c>
      <c r="C107" s="104" t="str">
        <f>'Rahastamiskava juuni 2025'!G33</f>
        <v>Erimeede BMVI/2021-2022/SA/1.2.1/003 - Autonoomse ja mobiilse kaugseire võimekuse tõstmine</v>
      </c>
      <c r="D107" s="141" t="s">
        <v>302</v>
      </c>
      <c r="E107" s="75">
        <v>4</v>
      </c>
    </row>
    <row r="108" spans="1:5" ht="29" x14ac:dyDescent="0.35">
      <c r="A108" s="374"/>
      <c r="B108" s="145" t="s">
        <v>543</v>
      </c>
      <c r="C108" s="145" t="str">
        <f>'Rahastamiskava juuni 2025'!G35</f>
        <v>Erimeede BMVI/2021/SA/1.5.4/008 - Koostalitlusvõime määruse rakendamise toetamine</v>
      </c>
      <c r="D108" s="146" t="s">
        <v>302</v>
      </c>
      <c r="E108" s="147">
        <v>140</v>
      </c>
    </row>
    <row r="109" spans="1:5" x14ac:dyDescent="0.35">
      <c r="A109" s="374"/>
      <c r="B109" s="104" t="s">
        <v>538</v>
      </c>
      <c r="C109" s="104" t="str">
        <f>'Rahastamiskava juuni 2025'!G43</f>
        <v>Erimeede BMVI/2024/SA/1.5.1/001.1 - EES ja ETIAS rakendamine</v>
      </c>
      <c r="D109" s="141" t="s">
        <v>302</v>
      </c>
      <c r="E109" s="75">
        <v>50</v>
      </c>
    </row>
    <row r="110" spans="1:5" x14ac:dyDescent="0.35">
      <c r="A110" s="374"/>
      <c r="B110" s="145" t="s">
        <v>537</v>
      </c>
      <c r="C110" s="145" t="str">
        <f>'Rahastamiskava juuni 2025'!G45</f>
        <v>Erimeede BMVI/2024/SA/1.5.1/001.2 - SIS iSPOC DEBS (ETIAS)</v>
      </c>
      <c r="D110" s="146" t="s">
        <v>302</v>
      </c>
      <c r="E110" s="147">
        <v>50</v>
      </c>
    </row>
    <row r="111" spans="1:5" ht="29" x14ac:dyDescent="0.35">
      <c r="A111" s="375"/>
      <c r="B111" s="104" t="s">
        <v>546</v>
      </c>
      <c r="C111" s="104" t="str">
        <f>'Rahastamiskava juuni 2025'!G49</f>
        <v>Erimeede BMVI/2024/SA/1.1.5/001 - Mitmekihilise droonituvastuse- ja -tõrjepositsiooni piloteerimine</v>
      </c>
      <c r="D111" s="141" t="s">
        <v>302</v>
      </c>
      <c r="E111" s="75">
        <v>4</v>
      </c>
    </row>
    <row r="112" spans="1:5" x14ac:dyDescent="0.35">
      <c r="A112" s="104" t="s">
        <v>228</v>
      </c>
      <c r="B112" s="109"/>
      <c r="C112" s="120" t="s">
        <v>597</v>
      </c>
      <c r="D112" s="139" t="s">
        <v>302</v>
      </c>
      <c r="E112" s="121">
        <v>12800</v>
      </c>
    </row>
    <row r="114" spans="1:5" x14ac:dyDescent="0.35">
      <c r="A114" s="100" t="s">
        <v>148</v>
      </c>
      <c r="B114" s="100"/>
    </row>
    <row r="115" spans="1:5" ht="29" customHeight="1" x14ac:dyDescent="0.35">
      <c r="A115" s="378" t="s">
        <v>497</v>
      </c>
      <c r="B115" s="378"/>
      <c r="C115" s="378"/>
    </row>
    <row r="116" spans="1:5" x14ac:dyDescent="0.35">
      <c r="A116" s="364" t="s">
        <v>229</v>
      </c>
      <c r="B116" s="153"/>
      <c r="C116" s="149" t="s">
        <v>577</v>
      </c>
      <c r="D116" s="151">
        <f>D117+D118</f>
        <v>2</v>
      </c>
      <c r="E116" s="151">
        <v>3</v>
      </c>
    </row>
    <row r="117" spans="1:5" x14ac:dyDescent="0.35">
      <c r="A117" s="377"/>
      <c r="B117" s="104" t="s">
        <v>693</v>
      </c>
      <c r="C117" s="104" t="str">
        <f>'Rahastamiskava juuni 2025'!G57</f>
        <v xml:space="preserve">Riigisisese viisaregistri arenduste II etapp           </v>
      </c>
      <c r="D117" s="75">
        <v>1</v>
      </c>
      <c r="E117" s="75">
        <v>1</v>
      </c>
    </row>
    <row r="118" spans="1:5" x14ac:dyDescent="0.35">
      <c r="A118" s="365"/>
      <c r="B118" s="145" t="s">
        <v>694</v>
      </c>
      <c r="C118" s="145" t="str">
        <f>'Rahastamiskava juuni 2025'!G58</f>
        <v>Riikliku viisaregistri ja VIS arendused</v>
      </c>
      <c r="D118" s="147">
        <v>1</v>
      </c>
      <c r="E118" s="147">
        <v>1</v>
      </c>
    </row>
    <row r="119" spans="1:5" ht="14.5" customHeight="1" x14ac:dyDescent="0.35">
      <c r="A119" s="364" t="s">
        <v>230</v>
      </c>
      <c r="B119" s="153"/>
      <c r="C119" s="149" t="s">
        <v>484</v>
      </c>
      <c r="D119" s="149">
        <v>70</v>
      </c>
      <c r="E119" s="151">
        <f>E120+E121</f>
        <v>90</v>
      </c>
    </row>
    <row r="120" spans="1:5" ht="14.5" customHeight="1" x14ac:dyDescent="0.35">
      <c r="A120" s="377"/>
      <c r="B120" s="104" t="s">
        <v>696</v>
      </c>
      <c r="C120" s="104" t="str">
        <f>'Rahastamiskava juuni 2025'!G59</f>
        <v>Viisamenetlejate koolitamine ja stažeerimisprogramm</v>
      </c>
      <c r="D120" s="104">
        <v>60</v>
      </c>
      <c r="E120" s="75">
        <v>70</v>
      </c>
    </row>
    <row r="121" spans="1:5" ht="14.5" customHeight="1" x14ac:dyDescent="0.35">
      <c r="A121" s="377"/>
      <c r="B121" s="104" t="s">
        <v>695</v>
      </c>
      <c r="C121" s="104" t="str">
        <f>'Rahastamiskava juuni 2025'!G60</f>
        <v>Ühisauditid ja viisamenetluspraktika</v>
      </c>
      <c r="D121" s="104">
        <v>10</v>
      </c>
      <c r="E121" s="75">
        <v>20</v>
      </c>
    </row>
    <row r="122" spans="1:5" x14ac:dyDescent="0.35">
      <c r="A122" s="364" t="s">
        <v>231</v>
      </c>
      <c r="B122" s="153"/>
      <c r="C122" s="152" t="s">
        <v>587</v>
      </c>
      <c r="D122" s="152">
        <v>60</v>
      </c>
      <c r="E122" s="151">
        <v>70</v>
      </c>
    </row>
    <row r="123" spans="1:5" x14ac:dyDescent="0.35">
      <c r="A123" s="377"/>
      <c r="B123" s="104" t="s">
        <v>696</v>
      </c>
      <c r="C123" s="111" t="str">
        <f>'Rahastamiskava juuni 2025'!G59</f>
        <v>Viisamenetlejate koolitamine ja stažeerimisprogramm</v>
      </c>
      <c r="D123" s="111">
        <v>60</v>
      </c>
      <c r="E123" s="75">
        <v>70</v>
      </c>
    </row>
    <row r="124" spans="1:5" ht="33.5" customHeight="1" x14ac:dyDescent="0.35">
      <c r="A124" s="364" t="s">
        <v>232</v>
      </c>
      <c r="B124" s="153"/>
      <c r="C124" s="149" t="s">
        <v>488</v>
      </c>
      <c r="D124" s="149">
        <v>0</v>
      </c>
      <c r="E124" s="221">
        <v>3</v>
      </c>
    </row>
    <row r="125" spans="1:5" ht="37.5" customHeight="1" x14ac:dyDescent="0.35">
      <c r="A125" s="365"/>
      <c r="B125" s="104" t="s">
        <v>668</v>
      </c>
      <c r="C125" s="104" t="str">
        <f>'Rahastamiskava juuni 2025'!G61</f>
        <v>TEGEVUSTOETUS: viisamenetluse tõhustamine</v>
      </c>
      <c r="D125" s="104">
        <v>0</v>
      </c>
      <c r="E125" s="220">
        <v>3</v>
      </c>
    </row>
    <row r="126" spans="1:5" x14ac:dyDescent="0.35">
      <c r="A126" s="364" t="s">
        <v>493</v>
      </c>
      <c r="B126" s="153"/>
      <c r="C126" s="152" t="s">
        <v>578</v>
      </c>
      <c r="D126" s="150">
        <v>0</v>
      </c>
      <c r="E126" s="151">
        <v>3</v>
      </c>
    </row>
    <row r="127" spans="1:5" ht="29" x14ac:dyDescent="0.35">
      <c r="A127" s="365"/>
      <c r="B127" s="104" t="s">
        <v>668</v>
      </c>
      <c r="C127" s="111" t="str">
        <f>'Rahastamiskava juuni 2025'!G61</f>
        <v>TEGEVUSTOETUS: viisamenetluse tõhustamine</v>
      </c>
      <c r="D127" s="115">
        <v>0</v>
      </c>
      <c r="E127" s="75">
        <v>3</v>
      </c>
    </row>
    <row r="128" spans="1:5" ht="21.5" customHeight="1" x14ac:dyDescent="0.35">
      <c r="A128" s="376" t="s">
        <v>234</v>
      </c>
      <c r="B128" s="153"/>
      <c r="C128" s="149" t="s">
        <v>579</v>
      </c>
      <c r="D128" s="151">
        <v>1</v>
      </c>
      <c r="E128" s="151">
        <v>4</v>
      </c>
    </row>
    <row r="129" spans="1:6" x14ac:dyDescent="0.35">
      <c r="A129" s="376"/>
      <c r="B129" s="104" t="s">
        <v>694</v>
      </c>
      <c r="C129" s="104" t="str">
        <f>'Rahastamiskava juuni 2025'!G58</f>
        <v>Riikliku viisaregistri ja VIS arendused</v>
      </c>
      <c r="D129" s="75">
        <v>1</v>
      </c>
      <c r="E129" s="75">
        <v>4</v>
      </c>
    </row>
    <row r="130" spans="1:6" ht="33" customHeight="1" x14ac:dyDescent="0.35">
      <c r="A130" s="364" t="s">
        <v>235</v>
      </c>
      <c r="B130" s="149"/>
      <c r="C130" s="149" t="s">
        <v>485</v>
      </c>
      <c r="D130" s="150">
        <v>0</v>
      </c>
      <c r="E130" s="151">
        <v>1</v>
      </c>
      <c r="F130" t="s">
        <v>573</v>
      </c>
    </row>
    <row r="131" spans="1:6" ht="18" customHeight="1" x14ac:dyDescent="0.35">
      <c r="A131" s="377"/>
      <c r="B131" s="104" t="s">
        <v>693</v>
      </c>
      <c r="C131" s="104" t="str">
        <f>'Rahastamiskava juuni 2025'!G57</f>
        <v xml:space="preserve">Riigisisese viisaregistri arenduste II etapp           </v>
      </c>
      <c r="D131" s="366"/>
      <c r="E131" s="367"/>
    </row>
    <row r="132" spans="1:6" ht="19" customHeight="1" x14ac:dyDescent="0.35">
      <c r="A132" s="365"/>
      <c r="B132" s="104" t="s">
        <v>694</v>
      </c>
      <c r="C132" s="104" t="str">
        <f>'Rahastamiskava juuni 2025'!G58</f>
        <v>Riikliku viisaregistri ja VIS arendused</v>
      </c>
      <c r="D132" s="368"/>
      <c r="E132" s="369"/>
    </row>
    <row r="133" spans="1:6" x14ac:dyDescent="0.35">
      <c r="A133" s="364" t="s">
        <v>494</v>
      </c>
      <c r="B133" s="104"/>
      <c r="C133" s="152" t="s">
        <v>580</v>
      </c>
      <c r="D133" s="152">
        <v>0</v>
      </c>
      <c r="E133" s="151">
        <v>1</v>
      </c>
      <c r="F133" t="s">
        <v>573</v>
      </c>
    </row>
    <row r="134" spans="1:6" x14ac:dyDescent="0.35">
      <c r="A134" s="377"/>
      <c r="B134" s="104" t="s">
        <v>693</v>
      </c>
      <c r="C134" s="111" t="str">
        <f>'Rahastamiskava juuni 2025'!G57</f>
        <v xml:space="preserve">Riigisisese viisaregistri arenduste II etapp           </v>
      </c>
      <c r="D134" s="370"/>
      <c r="E134" s="371"/>
    </row>
    <row r="135" spans="1:6" x14ac:dyDescent="0.35">
      <c r="A135" s="365"/>
      <c r="B135" s="104" t="s">
        <v>694</v>
      </c>
      <c r="C135" s="111" t="str">
        <f>'Rahastamiskava juuni 2025'!G58</f>
        <v>Riikliku viisaregistri ja VIS arendused</v>
      </c>
      <c r="D135" s="372"/>
      <c r="E135" s="373"/>
    </row>
    <row r="136" spans="1:6" x14ac:dyDescent="0.35">
      <c r="A136" s="116" t="s">
        <v>237</v>
      </c>
      <c r="B136" s="116"/>
      <c r="C136" s="156" t="s">
        <v>581</v>
      </c>
      <c r="D136" s="155">
        <v>0</v>
      </c>
      <c r="E136" s="154">
        <v>0</v>
      </c>
    </row>
    <row r="137" spans="1:6" x14ac:dyDescent="0.35">
      <c r="A137" s="116" t="s">
        <v>238</v>
      </c>
      <c r="B137" s="116"/>
      <c r="C137" s="156" t="s">
        <v>582</v>
      </c>
      <c r="D137" s="154">
        <v>0</v>
      </c>
      <c r="E137" s="154">
        <v>0</v>
      </c>
    </row>
    <row r="138" spans="1:6" x14ac:dyDescent="0.35">
      <c r="D138" s="102"/>
      <c r="E138" s="102"/>
    </row>
    <row r="139" spans="1:6" x14ac:dyDescent="0.35">
      <c r="A139" s="100" t="s">
        <v>496</v>
      </c>
      <c r="B139" s="98"/>
      <c r="D139" s="102"/>
      <c r="E139" s="102"/>
    </row>
    <row r="140" spans="1:6" ht="33" customHeight="1" x14ac:dyDescent="0.35">
      <c r="A140" s="116" t="s">
        <v>239</v>
      </c>
      <c r="B140" s="153"/>
      <c r="C140" s="149" t="s">
        <v>489</v>
      </c>
      <c r="D140" s="155" t="s">
        <v>302</v>
      </c>
      <c r="E140" s="154">
        <v>0</v>
      </c>
    </row>
    <row r="141" spans="1:6" ht="29" x14ac:dyDescent="0.35">
      <c r="A141" s="116" t="s">
        <v>240</v>
      </c>
      <c r="B141" s="153"/>
      <c r="C141" s="152" t="s">
        <v>583</v>
      </c>
      <c r="D141" s="155" t="s">
        <v>302</v>
      </c>
      <c r="E141" s="154">
        <v>0</v>
      </c>
    </row>
    <row r="142" spans="1:6" ht="29" x14ac:dyDescent="0.35">
      <c r="A142" s="364" t="s">
        <v>495</v>
      </c>
      <c r="B142" s="153"/>
      <c r="C142" s="149" t="s">
        <v>584</v>
      </c>
      <c r="D142" s="154" t="s">
        <v>302</v>
      </c>
      <c r="E142" s="157">
        <v>1</v>
      </c>
      <c r="F142" s="101" t="s">
        <v>744</v>
      </c>
    </row>
    <row r="143" spans="1:6" x14ac:dyDescent="0.35">
      <c r="A143" s="365"/>
      <c r="B143" s="104" t="s">
        <v>694</v>
      </c>
      <c r="C143" s="104" t="str">
        <f>'Rahastamiskava juuni 2025'!G58</f>
        <v>Riikliku viisaregistri ja VIS arendused</v>
      </c>
      <c r="D143" s="141"/>
      <c r="E143" s="158"/>
    </row>
    <row r="144" spans="1:6" ht="29" x14ac:dyDescent="0.35">
      <c r="A144" s="118"/>
      <c r="B144" s="104" t="s">
        <v>707</v>
      </c>
      <c r="C144" s="104" t="str">
        <f>'Rahastamiskava juuni 2025'!G61</f>
        <v>TEGEVUSTOETUS: viisamenetluse tõhustamine</v>
      </c>
      <c r="D144" s="141"/>
      <c r="E144" s="158"/>
    </row>
    <row r="145" spans="1:5" x14ac:dyDescent="0.35">
      <c r="A145" s="116" t="s">
        <v>242</v>
      </c>
      <c r="B145" s="153"/>
      <c r="C145" s="149" t="s">
        <v>585</v>
      </c>
      <c r="D145" s="154" t="s">
        <v>302</v>
      </c>
      <c r="E145" s="154">
        <v>976292</v>
      </c>
    </row>
    <row r="146" spans="1:5" ht="29" x14ac:dyDescent="0.35">
      <c r="A146" s="364" t="s">
        <v>243</v>
      </c>
      <c r="B146" s="153"/>
      <c r="C146" s="149" t="s">
        <v>25</v>
      </c>
      <c r="D146" s="154" t="s">
        <v>302</v>
      </c>
      <c r="E146" s="154">
        <v>7</v>
      </c>
    </row>
    <row r="147" spans="1:5" x14ac:dyDescent="0.35">
      <c r="A147" s="365"/>
      <c r="B147" s="104" t="s">
        <v>695</v>
      </c>
      <c r="C147" s="104" t="str">
        <f>'Rahastamiskava juuni 2025'!G60</f>
        <v>Ühisauditid ja viisamenetluspraktika</v>
      </c>
      <c r="D147" s="141"/>
      <c r="E147" s="141">
        <v>7</v>
      </c>
    </row>
    <row r="148" spans="1:5" ht="29" x14ac:dyDescent="0.35">
      <c r="A148" s="364" t="s">
        <v>244</v>
      </c>
      <c r="B148" s="153"/>
      <c r="C148" s="149" t="s">
        <v>586</v>
      </c>
      <c r="D148" s="154" t="s">
        <v>302</v>
      </c>
      <c r="E148" s="154">
        <v>70</v>
      </c>
    </row>
    <row r="149" spans="1:5" x14ac:dyDescent="0.35">
      <c r="A149" s="365"/>
      <c r="B149" s="75" t="s">
        <v>696</v>
      </c>
      <c r="C149" s="75" t="str">
        <f>'Rahastamiskava juuni 2025'!G59</f>
        <v>Viisamenetlejate koolitamine ja stažeerimisprogramm</v>
      </c>
      <c r="D149" s="141"/>
      <c r="E149" s="141">
        <v>70</v>
      </c>
    </row>
  </sheetData>
  <mergeCells count="35">
    <mergeCell ref="A81:C81"/>
    <mergeCell ref="A3:A14"/>
    <mergeCell ref="A15:A16"/>
    <mergeCell ref="A22:A24"/>
    <mergeCell ref="A33:A44"/>
    <mergeCell ref="A25:A26"/>
    <mergeCell ref="A27:A28"/>
    <mergeCell ref="A30:A32"/>
    <mergeCell ref="A45:A53"/>
    <mergeCell ref="A64:A75"/>
    <mergeCell ref="A56:A63"/>
    <mergeCell ref="A17:A20"/>
    <mergeCell ref="A76:A78"/>
    <mergeCell ref="A122:A123"/>
    <mergeCell ref="A124:A125"/>
    <mergeCell ref="A126:A127"/>
    <mergeCell ref="A82:A85"/>
    <mergeCell ref="A115:C115"/>
    <mergeCell ref="A87:A91"/>
    <mergeCell ref="D65:D75"/>
    <mergeCell ref="E65:E75"/>
    <mergeCell ref="D77:D78"/>
    <mergeCell ref="E77:E78"/>
    <mergeCell ref="A148:A149"/>
    <mergeCell ref="A146:A147"/>
    <mergeCell ref="A142:A143"/>
    <mergeCell ref="D131:E132"/>
    <mergeCell ref="D134:E135"/>
    <mergeCell ref="A102:A111"/>
    <mergeCell ref="A94:A101"/>
    <mergeCell ref="A133:A135"/>
    <mergeCell ref="A130:A132"/>
    <mergeCell ref="A128:A129"/>
    <mergeCell ref="A116:A118"/>
    <mergeCell ref="A119:A121"/>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CB156-0B71-48C1-8502-896624407434}">
  <dimension ref="A1:AV39"/>
  <sheetViews>
    <sheetView topLeftCell="B1" zoomScale="70" zoomScaleNormal="70" workbookViewId="0">
      <selection activeCell="X1" sqref="X1"/>
    </sheetView>
  </sheetViews>
  <sheetFormatPr defaultColWidth="9.1796875" defaultRowHeight="15.5" x14ac:dyDescent="0.35"/>
  <cols>
    <col min="1" max="1" width="6.1796875" style="213" hidden="1" customWidth="1"/>
    <col min="2" max="2" width="26.1796875" style="88" customWidth="1"/>
    <col min="3" max="3" width="87.81640625" style="88" customWidth="1"/>
    <col min="4" max="4" width="66.1796875" style="88" customWidth="1"/>
    <col min="5" max="5" width="59.453125" style="88" customWidth="1"/>
    <col min="6" max="6" width="42.453125" style="88" customWidth="1"/>
    <col min="7" max="7" width="58.54296875" style="88" customWidth="1"/>
    <col min="8" max="8" width="56.81640625" style="88" customWidth="1"/>
    <col min="9" max="9" width="64" style="88" customWidth="1"/>
    <col min="10" max="10" width="42.453125" style="88" customWidth="1"/>
    <col min="11" max="11" width="61.81640625" style="88" customWidth="1"/>
    <col min="12" max="12" width="73.1796875" style="88" customWidth="1"/>
    <col min="13" max="13" width="79.81640625" style="88" customWidth="1"/>
    <col min="14" max="14" width="42.453125" style="88" customWidth="1"/>
    <col min="15" max="15" width="42.453125" style="89" customWidth="1"/>
    <col min="16" max="19" width="42.453125" style="88" customWidth="1"/>
    <col min="20" max="20" width="50.54296875" style="88" customWidth="1"/>
    <col min="21" max="21" width="52" style="88" customWidth="1"/>
    <col min="22" max="22" width="42.453125" style="88" customWidth="1"/>
    <col min="23" max="23" width="80.54296875" style="88" customWidth="1"/>
    <col min="24" max="24" width="51.6328125" style="88" customWidth="1"/>
    <col min="25" max="25" width="64.54296875" style="88" customWidth="1"/>
    <col min="26" max="26" width="42.453125" style="88" customWidth="1"/>
    <col min="27" max="27" width="55.81640625" style="88" customWidth="1"/>
    <col min="28" max="32" width="54.54296875" style="88" customWidth="1"/>
    <col min="33" max="38" width="42.453125" style="88" customWidth="1"/>
    <col min="39" max="39" width="67" style="88" customWidth="1"/>
    <col min="40" max="40" width="59.1796875" style="88" customWidth="1"/>
    <col min="41" max="41" width="57.1796875" style="88" customWidth="1"/>
    <col min="42" max="42" width="75.1796875" style="179" customWidth="1"/>
    <col min="43" max="16384" width="9.1796875" style="179"/>
  </cols>
  <sheetData>
    <row r="1" spans="1:42" ht="16" thickBot="1" x14ac:dyDescent="0.4">
      <c r="A1" s="84" t="s">
        <v>200</v>
      </c>
      <c r="B1" s="216">
        <v>45836</v>
      </c>
      <c r="C1" s="85"/>
      <c r="D1" s="85"/>
      <c r="E1" s="85"/>
      <c r="F1" s="85"/>
      <c r="G1" s="85"/>
      <c r="H1" s="85"/>
      <c r="I1" s="85"/>
      <c r="J1" s="85"/>
      <c r="K1" s="85"/>
      <c r="L1" s="85"/>
      <c r="M1" s="85"/>
      <c r="N1" s="85"/>
      <c r="O1" s="86"/>
      <c r="P1" s="85"/>
      <c r="Q1" s="85"/>
      <c r="R1" s="85"/>
      <c r="S1" s="85"/>
      <c r="T1" s="85"/>
      <c r="U1" s="85"/>
      <c r="V1" s="85"/>
      <c r="W1" s="85"/>
      <c r="X1" s="85"/>
      <c r="Y1" s="85"/>
      <c r="Z1" s="85"/>
      <c r="AA1" s="85"/>
      <c r="AB1" s="85"/>
      <c r="AC1" s="85"/>
      <c r="AD1" s="85"/>
      <c r="AE1" s="85"/>
      <c r="AF1" s="85"/>
      <c r="AG1" s="85"/>
      <c r="AH1" s="85"/>
      <c r="AI1" s="85"/>
      <c r="AJ1" s="85"/>
      <c r="AK1" s="85"/>
      <c r="AL1" s="85"/>
      <c r="AM1" s="87"/>
      <c r="AN1" s="7"/>
      <c r="AO1" s="7"/>
    </row>
    <row r="2" spans="1:42" ht="16" thickBot="1" x14ac:dyDescent="0.4">
      <c r="A2" s="180">
        <v>13</v>
      </c>
      <c r="B2" s="178" t="s">
        <v>201</v>
      </c>
      <c r="C2" s="178" t="s">
        <v>147</v>
      </c>
      <c r="D2" s="178" t="s">
        <v>147</v>
      </c>
      <c r="E2" s="178" t="s">
        <v>147</v>
      </c>
      <c r="F2" s="178" t="s">
        <v>147</v>
      </c>
      <c r="G2" s="178" t="s">
        <v>147</v>
      </c>
      <c r="H2" s="178" t="s">
        <v>147</v>
      </c>
      <c r="I2" s="178" t="s">
        <v>147</v>
      </c>
      <c r="J2" s="178" t="s">
        <v>147</v>
      </c>
      <c r="K2" s="178" t="s">
        <v>147</v>
      </c>
      <c r="L2" s="178" t="s">
        <v>147</v>
      </c>
      <c r="M2" s="178" t="s">
        <v>147</v>
      </c>
      <c r="N2" s="178" t="s">
        <v>147</v>
      </c>
      <c r="O2" s="178" t="s">
        <v>147</v>
      </c>
      <c r="P2" s="178" t="s">
        <v>147</v>
      </c>
      <c r="Q2" s="178" t="s">
        <v>147</v>
      </c>
      <c r="R2" s="178" t="s">
        <v>147</v>
      </c>
      <c r="S2" s="178" t="s">
        <v>147</v>
      </c>
      <c r="T2" s="181" t="s">
        <v>147</v>
      </c>
      <c r="U2" s="182" t="s">
        <v>147</v>
      </c>
      <c r="V2" s="182" t="s">
        <v>147</v>
      </c>
      <c r="W2" s="182" t="s">
        <v>147</v>
      </c>
      <c r="X2" s="182" t="s">
        <v>147</v>
      </c>
      <c r="Y2" s="182" t="s">
        <v>147</v>
      </c>
      <c r="Z2" s="182"/>
      <c r="AA2" s="183" t="s">
        <v>148</v>
      </c>
      <c r="AB2" s="183" t="s">
        <v>148</v>
      </c>
      <c r="AC2" s="183" t="s">
        <v>148</v>
      </c>
      <c r="AD2" s="183" t="s">
        <v>148</v>
      </c>
      <c r="AE2" s="183" t="s">
        <v>148</v>
      </c>
      <c r="AF2" s="184" t="s">
        <v>148</v>
      </c>
      <c r="AG2" s="184" t="s">
        <v>148</v>
      </c>
      <c r="AH2" s="184" t="s">
        <v>148</v>
      </c>
      <c r="AI2" s="184" t="s">
        <v>148</v>
      </c>
      <c r="AJ2" s="184" t="s">
        <v>148</v>
      </c>
      <c r="AK2" s="184" t="s">
        <v>148</v>
      </c>
      <c r="AL2" s="184" t="s">
        <v>148</v>
      </c>
      <c r="AM2" s="184" t="s">
        <v>148</v>
      </c>
      <c r="AN2" s="184" t="s">
        <v>148</v>
      </c>
      <c r="AO2" s="184" t="s">
        <v>148</v>
      </c>
      <c r="AP2" s="184" t="s">
        <v>148</v>
      </c>
    </row>
    <row r="3" spans="1:42" ht="16" thickBot="1" x14ac:dyDescent="0.4">
      <c r="A3" s="180">
        <v>4</v>
      </c>
      <c r="B3" s="178" t="s">
        <v>202</v>
      </c>
      <c r="C3" s="178" t="s">
        <v>203</v>
      </c>
      <c r="D3" s="178" t="s">
        <v>203</v>
      </c>
      <c r="E3" s="178" t="s">
        <v>203</v>
      </c>
      <c r="F3" s="178" t="s">
        <v>203</v>
      </c>
      <c r="G3" s="178" t="s">
        <v>203</v>
      </c>
      <c r="H3" s="178" t="s">
        <v>203</v>
      </c>
      <c r="I3" s="178" t="s">
        <v>203</v>
      </c>
      <c r="J3" s="178" t="s">
        <v>203</v>
      </c>
      <c r="K3" s="178" t="s">
        <v>203</v>
      </c>
      <c r="L3" s="178" t="s">
        <v>203</v>
      </c>
      <c r="M3" s="178" t="s">
        <v>203</v>
      </c>
      <c r="N3" s="178" t="s">
        <v>203</v>
      </c>
      <c r="O3" s="178" t="s">
        <v>203</v>
      </c>
      <c r="P3" s="178" t="s">
        <v>203</v>
      </c>
      <c r="Q3" s="178" t="s">
        <v>203</v>
      </c>
      <c r="R3" s="178" t="s">
        <v>203</v>
      </c>
      <c r="S3" s="178" t="s">
        <v>203</v>
      </c>
      <c r="T3" s="181" t="s">
        <v>204</v>
      </c>
      <c r="U3" s="182" t="s">
        <v>204</v>
      </c>
      <c r="V3" s="182" t="s">
        <v>204</v>
      </c>
      <c r="W3" s="182" t="s">
        <v>204</v>
      </c>
      <c r="X3" s="182" t="s">
        <v>204</v>
      </c>
      <c r="Y3" s="182" t="s">
        <v>204</v>
      </c>
      <c r="Z3" s="182" t="s">
        <v>204</v>
      </c>
      <c r="AA3" s="183" t="s">
        <v>203</v>
      </c>
      <c r="AB3" s="183" t="s">
        <v>203</v>
      </c>
      <c r="AC3" s="183" t="s">
        <v>203</v>
      </c>
      <c r="AD3" s="183" t="s">
        <v>203</v>
      </c>
      <c r="AE3" s="183" t="s">
        <v>203</v>
      </c>
      <c r="AF3" s="184" t="s">
        <v>203</v>
      </c>
      <c r="AG3" s="184" t="s">
        <v>203</v>
      </c>
      <c r="AH3" s="184" t="s">
        <v>203</v>
      </c>
      <c r="AI3" s="184" t="s">
        <v>203</v>
      </c>
      <c r="AJ3" s="184" t="s">
        <v>203</v>
      </c>
      <c r="AK3" s="184" t="s">
        <v>204</v>
      </c>
      <c r="AL3" s="184" t="s">
        <v>204</v>
      </c>
      <c r="AM3" s="184" t="s">
        <v>204</v>
      </c>
      <c r="AN3" s="184" t="s">
        <v>204</v>
      </c>
      <c r="AO3" s="184" t="s">
        <v>204</v>
      </c>
      <c r="AP3" s="184" t="s">
        <v>204</v>
      </c>
    </row>
    <row r="4" spans="1:42" ht="16" thickBot="1" x14ac:dyDescent="0.4">
      <c r="A4" s="180">
        <v>1</v>
      </c>
      <c r="B4" s="178" t="s">
        <v>205</v>
      </c>
      <c r="C4" s="178" t="s">
        <v>206</v>
      </c>
      <c r="D4" s="178" t="s">
        <v>207</v>
      </c>
      <c r="E4" s="178" t="s">
        <v>490</v>
      </c>
      <c r="F4" s="178" t="s">
        <v>208</v>
      </c>
      <c r="G4" s="178" t="s">
        <v>209</v>
      </c>
      <c r="H4" s="178" t="s">
        <v>210</v>
      </c>
      <c r="I4" s="178" t="s">
        <v>211</v>
      </c>
      <c r="J4" s="178" t="s">
        <v>212</v>
      </c>
      <c r="K4" s="178" t="s">
        <v>213</v>
      </c>
      <c r="L4" s="178" t="s">
        <v>214</v>
      </c>
      <c r="M4" s="178" t="s">
        <v>215</v>
      </c>
      <c r="N4" s="178" t="s">
        <v>216</v>
      </c>
      <c r="O4" s="178" t="s">
        <v>217</v>
      </c>
      <c r="P4" s="178" t="s">
        <v>218</v>
      </c>
      <c r="Q4" s="178" t="s">
        <v>219</v>
      </c>
      <c r="R4" s="178" t="s">
        <v>220</v>
      </c>
      <c r="S4" s="178" t="s">
        <v>221</v>
      </c>
      <c r="T4" s="181" t="s">
        <v>222</v>
      </c>
      <c r="U4" s="181" t="s">
        <v>223</v>
      </c>
      <c r="V4" s="181" t="s">
        <v>224</v>
      </c>
      <c r="W4" s="181" t="s">
        <v>225</v>
      </c>
      <c r="X4" s="181" t="s">
        <v>226</v>
      </c>
      <c r="Y4" s="181" t="s">
        <v>227</v>
      </c>
      <c r="Z4" s="181" t="s">
        <v>228</v>
      </c>
      <c r="AA4" s="184" t="s">
        <v>229</v>
      </c>
      <c r="AB4" s="184" t="s">
        <v>230</v>
      </c>
      <c r="AC4" s="184" t="s">
        <v>231</v>
      </c>
      <c r="AD4" s="184" t="s">
        <v>232</v>
      </c>
      <c r="AE4" s="184" t="s">
        <v>233</v>
      </c>
      <c r="AF4" s="184" t="s">
        <v>234</v>
      </c>
      <c r="AG4" s="184" t="s">
        <v>235</v>
      </c>
      <c r="AH4" s="184" t="s">
        <v>236</v>
      </c>
      <c r="AI4" s="184" t="s">
        <v>237</v>
      </c>
      <c r="AJ4" s="184" t="s">
        <v>238</v>
      </c>
      <c r="AK4" s="184" t="s">
        <v>239</v>
      </c>
      <c r="AL4" s="184" t="s">
        <v>240</v>
      </c>
      <c r="AM4" s="184" t="s">
        <v>241</v>
      </c>
      <c r="AN4" s="184" t="s">
        <v>242</v>
      </c>
      <c r="AO4" s="184" t="s">
        <v>243</v>
      </c>
      <c r="AP4" s="184" t="s">
        <v>244</v>
      </c>
    </row>
    <row r="5" spans="1:42" ht="44" thickBot="1" x14ac:dyDescent="0.4">
      <c r="A5" s="180">
        <f>A4+1</f>
        <v>2</v>
      </c>
      <c r="B5" s="178" t="s">
        <v>245</v>
      </c>
      <c r="C5" s="178" t="s">
        <v>246</v>
      </c>
      <c r="D5" s="178" t="s">
        <v>247</v>
      </c>
      <c r="E5" s="178" t="s">
        <v>248</v>
      </c>
      <c r="F5" s="178" t="s">
        <v>249</v>
      </c>
      <c r="G5" s="178" t="s">
        <v>250</v>
      </c>
      <c r="H5" s="178" t="s">
        <v>251</v>
      </c>
      <c r="I5" s="178" t="s">
        <v>252</v>
      </c>
      <c r="J5" s="178" t="s">
        <v>253</v>
      </c>
      <c r="K5" s="178" t="s">
        <v>254</v>
      </c>
      <c r="L5" s="178" t="s">
        <v>255</v>
      </c>
      <c r="M5" s="178" t="s">
        <v>256</v>
      </c>
      <c r="N5" s="178" t="s">
        <v>257</v>
      </c>
      <c r="O5" s="178" t="s">
        <v>258</v>
      </c>
      <c r="P5" s="178" t="s">
        <v>259</v>
      </c>
      <c r="Q5" s="178" t="s">
        <v>260</v>
      </c>
      <c r="R5" s="178" t="s">
        <v>261</v>
      </c>
      <c r="S5" s="178" t="s">
        <v>262</v>
      </c>
      <c r="T5" s="181" t="s">
        <v>263</v>
      </c>
      <c r="U5" s="181" t="s">
        <v>264</v>
      </c>
      <c r="V5" s="181" t="s">
        <v>265</v>
      </c>
      <c r="W5" s="181" t="s">
        <v>266</v>
      </c>
      <c r="X5" s="181" t="s">
        <v>267</v>
      </c>
      <c r="Y5" s="181" t="s">
        <v>268</v>
      </c>
      <c r="Z5" s="181" t="s">
        <v>269</v>
      </c>
      <c r="AA5" s="184" t="s">
        <v>270</v>
      </c>
      <c r="AB5" s="184" t="s">
        <v>255</v>
      </c>
      <c r="AC5" s="184" t="s">
        <v>271</v>
      </c>
      <c r="AD5" s="184" t="s">
        <v>272</v>
      </c>
      <c r="AE5" s="184" t="s">
        <v>273</v>
      </c>
      <c r="AF5" s="184" t="s">
        <v>274</v>
      </c>
      <c r="AG5" s="184" t="s">
        <v>259</v>
      </c>
      <c r="AH5" s="184" t="s">
        <v>260</v>
      </c>
      <c r="AI5" s="184" t="s">
        <v>275</v>
      </c>
      <c r="AJ5" s="184" t="s">
        <v>276</v>
      </c>
      <c r="AK5" s="184" t="s">
        <v>277</v>
      </c>
      <c r="AL5" s="184" t="s">
        <v>278</v>
      </c>
      <c r="AM5" s="184" t="s">
        <v>279</v>
      </c>
      <c r="AN5" s="184" t="s">
        <v>280</v>
      </c>
      <c r="AO5" s="184" t="s">
        <v>281</v>
      </c>
      <c r="AP5" s="184" t="s">
        <v>712</v>
      </c>
    </row>
    <row r="6" spans="1:42" ht="29.5" thickBot="1" x14ac:dyDescent="0.4">
      <c r="A6" s="180">
        <v>3</v>
      </c>
      <c r="B6" s="178" t="s">
        <v>282</v>
      </c>
      <c r="C6" s="178" t="s">
        <v>283</v>
      </c>
      <c r="D6" s="178" t="s">
        <v>284</v>
      </c>
      <c r="E6" s="178" t="s">
        <v>285</v>
      </c>
      <c r="F6" s="178" t="s">
        <v>285</v>
      </c>
      <c r="G6" s="178" t="s">
        <v>285</v>
      </c>
      <c r="H6" s="178" t="s">
        <v>285</v>
      </c>
      <c r="I6" s="178" t="s">
        <v>285</v>
      </c>
      <c r="J6" s="178" t="s">
        <v>286</v>
      </c>
      <c r="K6" s="178" t="s">
        <v>286</v>
      </c>
      <c r="L6" s="178" t="s">
        <v>285</v>
      </c>
      <c r="M6" s="178" t="s">
        <v>287</v>
      </c>
      <c r="N6" s="178" t="s">
        <v>288</v>
      </c>
      <c r="O6" s="178" t="s">
        <v>289</v>
      </c>
      <c r="P6" s="178" t="s">
        <v>285</v>
      </c>
      <c r="Q6" s="178" t="s">
        <v>285</v>
      </c>
      <c r="R6" s="178" t="s">
        <v>290</v>
      </c>
      <c r="S6" s="178" t="s">
        <v>285</v>
      </c>
      <c r="T6" s="181" t="s">
        <v>291</v>
      </c>
      <c r="U6" s="181" t="s">
        <v>292</v>
      </c>
      <c r="V6" s="181" t="s">
        <v>293</v>
      </c>
      <c r="W6" s="181" t="s">
        <v>294</v>
      </c>
      <c r="X6" s="181" t="s">
        <v>295</v>
      </c>
      <c r="Y6" s="185" t="s">
        <v>285</v>
      </c>
      <c r="Z6" s="181" t="s">
        <v>285</v>
      </c>
      <c r="AA6" s="184" t="s">
        <v>287</v>
      </c>
      <c r="AB6" s="184" t="s">
        <v>285</v>
      </c>
      <c r="AC6" s="184" t="s">
        <v>285</v>
      </c>
      <c r="AD6" s="184" t="s">
        <v>285</v>
      </c>
      <c r="AE6" s="184" t="s">
        <v>285</v>
      </c>
      <c r="AF6" s="184" t="s">
        <v>289</v>
      </c>
      <c r="AG6" s="184" t="s">
        <v>285</v>
      </c>
      <c r="AH6" s="184" t="s">
        <v>285</v>
      </c>
      <c r="AI6" s="184" t="s">
        <v>285</v>
      </c>
      <c r="AJ6" s="184" t="s">
        <v>296</v>
      </c>
      <c r="AK6" s="184" t="s">
        <v>297</v>
      </c>
      <c r="AL6" s="184" t="s">
        <v>298</v>
      </c>
      <c r="AM6" s="184" t="s">
        <v>285</v>
      </c>
      <c r="AN6" s="184" t="s">
        <v>299</v>
      </c>
      <c r="AO6" s="184" t="s">
        <v>300</v>
      </c>
      <c r="AP6" s="184" t="s">
        <v>285</v>
      </c>
    </row>
    <row r="7" spans="1:42" ht="16" thickBot="1" x14ac:dyDescent="0.4">
      <c r="A7" s="180">
        <v>7</v>
      </c>
      <c r="B7" s="178" t="s">
        <v>301</v>
      </c>
      <c r="C7" s="186">
        <f>'indikaatorite arvutused'!D3</f>
        <v>320</v>
      </c>
      <c r="D7" s="186">
        <f>'indikaatorite arvutused'!D15</f>
        <v>18</v>
      </c>
      <c r="E7" s="186">
        <f>'indikaatorite arvutused'!D17</f>
        <v>1</v>
      </c>
      <c r="F7" s="186">
        <f>'indikaatorite arvutused'!D21</f>
        <v>0</v>
      </c>
      <c r="G7" s="186">
        <f>'indikaatorite arvutused'!D22</f>
        <v>1</v>
      </c>
      <c r="H7" s="186">
        <f>'indikaatorite arvutused'!D25</f>
        <v>26</v>
      </c>
      <c r="I7" s="186">
        <f>'indikaatorite arvutused'!D27</f>
        <v>26</v>
      </c>
      <c r="J7" s="186">
        <f>'indikaatorite arvutused'!D29</f>
        <v>0</v>
      </c>
      <c r="K7" s="186">
        <f>'indikaatorite arvutused'!D30</f>
        <v>0</v>
      </c>
      <c r="L7" s="186">
        <f>'indikaatorite arvutused'!D33</f>
        <v>347</v>
      </c>
      <c r="M7" s="186">
        <f>'indikaatorite arvutused'!D45</f>
        <v>347</v>
      </c>
      <c r="N7" s="186">
        <f>'indikaatorite arvutused'!D55</f>
        <v>0</v>
      </c>
      <c r="O7" s="186">
        <f>'indikaatorite arvutused'!D56</f>
        <v>4</v>
      </c>
      <c r="P7" s="186">
        <f>'indikaatorite arvutused'!D64</f>
        <v>4</v>
      </c>
      <c r="Q7" s="186">
        <f>'indikaatorite arvutused'!D76</f>
        <v>1</v>
      </c>
      <c r="R7" s="186">
        <f>'indikaatorite arvutused'!D8</f>
        <v>0</v>
      </c>
      <c r="S7" s="186">
        <f>'indikaatorite arvutused'!D80</f>
        <v>96</v>
      </c>
      <c r="T7" s="181" t="s">
        <v>302</v>
      </c>
      <c r="U7" s="181" t="s">
        <v>302</v>
      </c>
      <c r="V7" s="181"/>
      <c r="W7" s="181" t="s">
        <v>302</v>
      </c>
      <c r="X7" s="181" t="s">
        <v>302</v>
      </c>
      <c r="Y7" s="181" t="s">
        <v>302</v>
      </c>
      <c r="Z7" s="185" t="s">
        <v>302</v>
      </c>
      <c r="AA7" s="187">
        <f>'indikaatorite arvutused'!D116</f>
        <v>2</v>
      </c>
      <c r="AB7" s="187">
        <f>'indikaatorite arvutused'!D119</f>
        <v>70</v>
      </c>
      <c r="AC7" s="187">
        <f>'indikaatorite arvutused'!D122</f>
        <v>60</v>
      </c>
      <c r="AD7" s="187">
        <f>'indikaatorite arvutused'!D124</f>
        <v>0</v>
      </c>
      <c r="AE7" s="187">
        <f>'indikaatorite arvutused'!D126</f>
        <v>0</v>
      </c>
      <c r="AF7" s="187">
        <f>'indikaatorite arvutused'!D128</f>
        <v>1</v>
      </c>
      <c r="AG7" s="187">
        <f>'indikaatorite arvutused'!D130</f>
        <v>0</v>
      </c>
      <c r="AH7" s="187">
        <f>'indikaatorite arvutused'!D133</f>
        <v>0</v>
      </c>
      <c r="AI7" s="187">
        <f>'indikaatorite arvutused'!D136</f>
        <v>0</v>
      </c>
      <c r="AJ7" s="187">
        <f>'indikaatorite arvutused'!D137</f>
        <v>0</v>
      </c>
      <c r="AK7" s="184" t="s">
        <v>302</v>
      </c>
      <c r="AL7" s="184" t="s">
        <v>302</v>
      </c>
      <c r="AM7" s="184" t="s">
        <v>302</v>
      </c>
      <c r="AN7" s="184" t="s">
        <v>302</v>
      </c>
      <c r="AO7" s="184" t="s">
        <v>302</v>
      </c>
      <c r="AP7" s="184" t="s">
        <v>302</v>
      </c>
    </row>
    <row r="8" spans="1:42" ht="67.5" customHeight="1" thickBot="1" x14ac:dyDescent="0.4">
      <c r="A8" s="180">
        <v>8</v>
      </c>
      <c r="B8" s="178" t="s">
        <v>303</v>
      </c>
      <c r="C8" s="165">
        <f>'indikaatorite arvutused'!E3</f>
        <v>1607</v>
      </c>
      <c r="D8" s="165">
        <f>'indikaatorite arvutused'!E15</f>
        <v>20</v>
      </c>
      <c r="E8" s="165">
        <f>'indikaatorite arvutused'!E17</f>
        <v>8</v>
      </c>
      <c r="F8" s="186">
        <f>'indikaatorite arvutused'!E21</f>
        <v>0</v>
      </c>
      <c r="G8" s="165">
        <f>'indikaatorite arvutused'!E22</f>
        <v>1</v>
      </c>
      <c r="H8" s="165">
        <f>'indikaatorite arvutused'!E25</f>
        <v>26</v>
      </c>
      <c r="I8" s="165">
        <f>'indikaatorite arvutused'!E27</f>
        <v>26</v>
      </c>
      <c r="J8" s="165">
        <f>'indikaatorite arvutused'!E29</f>
        <v>0</v>
      </c>
      <c r="K8" s="165">
        <f>'indikaatorite arvutused'!E30</f>
        <v>33</v>
      </c>
      <c r="L8" s="165">
        <f>'indikaatorite arvutused'!E33</f>
        <v>662</v>
      </c>
      <c r="M8" s="165">
        <f>'indikaatorite arvutused'!E45</f>
        <v>650</v>
      </c>
      <c r="N8" s="165">
        <f>'indikaatorite arvutused'!E55</f>
        <v>0</v>
      </c>
      <c r="O8" s="165">
        <f>'indikaatorite arvutused'!E56</f>
        <v>25</v>
      </c>
      <c r="P8" s="165">
        <f>'indikaatorite arvutused'!E64</f>
        <v>4</v>
      </c>
      <c r="Q8" s="165">
        <f>'indikaatorite arvutused'!E76</f>
        <v>1</v>
      </c>
      <c r="R8" s="165">
        <f>'indikaatorite arvutused'!E79</f>
        <v>0</v>
      </c>
      <c r="S8" s="165">
        <f>'indikaatorite arvutused'!E80</f>
        <v>256</v>
      </c>
      <c r="T8" s="169">
        <f>'indikaatorite arvutused'!E82</f>
        <v>63</v>
      </c>
      <c r="U8" s="169">
        <f>'indikaatorite arvutused'!E87</f>
        <v>63</v>
      </c>
      <c r="V8" s="169">
        <f>'indikaatorite arvutused'!E92</f>
        <v>0</v>
      </c>
      <c r="W8" s="169">
        <f>'indikaatorite arvutused'!E93</f>
        <v>2200000</v>
      </c>
      <c r="X8" s="188" t="s">
        <v>638</v>
      </c>
      <c r="Y8" s="171">
        <f>'indikaatorite arvutused'!E102</f>
        <v>540</v>
      </c>
      <c r="Z8" s="189">
        <f>'indikaatorite arvutused'!E112</f>
        <v>12800</v>
      </c>
      <c r="AA8" s="172">
        <f>'indikaatorite arvutused'!E116</f>
        <v>3</v>
      </c>
      <c r="AB8" s="172">
        <f>'indikaatorite arvutused'!E119</f>
        <v>90</v>
      </c>
      <c r="AC8" s="172">
        <f>'indikaatorite arvutused'!E122</f>
        <v>70</v>
      </c>
      <c r="AD8" s="172">
        <f>'indikaatorite arvutused'!E124</f>
        <v>3</v>
      </c>
      <c r="AE8" s="172">
        <f>'indikaatorite arvutused'!E126</f>
        <v>3</v>
      </c>
      <c r="AF8" s="172">
        <f>'indikaatorite arvutused'!E128</f>
        <v>4</v>
      </c>
      <c r="AG8" s="172">
        <f>'indikaatorite arvutused'!E130</f>
        <v>1</v>
      </c>
      <c r="AH8" s="172">
        <f>'indikaatorite arvutused'!E133</f>
        <v>1</v>
      </c>
      <c r="AI8" s="172">
        <f>'indikaatorite arvutused'!E136</f>
        <v>0</v>
      </c>
      <c r="AJ8" s="172">
        <f>'indikaatorite arvutused'!E137</f>
        <v>0</v>
      </c>
      <c r="AK8" s="176">
        <f>'indikaatorite arvutused'!E140</f>
        <v>0</v>
      </c>
      <c r="AL8" s="176">
        <f>'indikaatorite arvutused'!E141</f>
        <v>0</v>
      </c>
      <c r="AM8" s="174" t="s">
        <v>304</v>
      </c>
      <c r="AN8" s="175">
        <f>'indikaatorite arvutused'!E145</f>
        <v>976292</v>
      </c>
      <c r="AO8" s="172">
        <f>'indikaatorite arvutused'!E146</f>
        <v>7</v>
      </c>
      <c r="AP8" s="176">
        <f>'indikaatorite arvutused'!E148</f>
        <v>70</v>
      </c>
    </row>
    <row r="9" spans="1:42" ht="144" customHeight="1" thickBot="1" x14ac:dyDescent="0.4">
      <c r="A9" s="180"/>
      <c r="B9" s="386" t="s">
        <v>305</v>
      </c>
      <c r="C9" s="166" t="s">
        <v>614</v>
      </c>
      <c r="D9" s="165" t="s">
        <v>615</v>
      </c>
      <c r="E9" s="165" t="s">
        <v>647</v>
      </c>
      <c r="F9" s="388" t="s">
        <v>302</v>
      </c>
      <c r="G9" s="165" t="s">
        <v>649</v>
      </c>
      <c r="H9" s="165" t="s">
        <v>616</v>
      </c>
      <c r="I9" s="165" t="s">
        <v>617</v>
      </c>
      <c r="J9" s="390" t="s">
        <v>302</v>
      </c>
      <c r="K9" s="165" t="s">
        <v>618</v>
      </c>
      <c r="L9" s="165" t="s">
        <v>658</v>
      </c>
      <c r="M9" s="165" t="s">
        <v>619</v>
      </c>
      <c r="N9" s="165"/>
      <c r="O9" s="165" t="s">
        <v>620</v>
      </c>
      <c r="P9" s="165" t="s">
        <v>621</v>
      </c>
      <c r="Q9" s="165" t="s">
        <v>734</v>
      </c>
      <c r="R9" s="390" t="s">
        <v>302</v>
      </c>
      <c r="S9" s="390" t="s">
        <v>302</v>
      </c>
      <c r="T9" s="169" t="s">
        <v>622</v>
      </c>
      <c r="U9" s="169" t="s">
        <v>623</v>
      </c>
      <c r="V9" s="380" t="s">
        <v>302</v>
      </c>
      <c r="W9" s="169" t="s">
        <v>624</v>
      </c>
      <c r="X9" s="380" t="s">
        <v>302</v>
      </c>
      <c r="Y9" s="171" t="s">
        <v>619</v>
      </c>
      <c r="Z9" s="380" t="s">
        <v>302</v>
      </c>
      <c r="AA9" s="172" t="s">
        <v>626</v>
      </c>
      <c r="AB9" s="172" t="s">
        <v>628</v>
      </c>
      <c r="AC9" s="172" t="s">
        <v>628</v>
      </c>
      <c r="AD9" s="174" t="s">
        <v>628</v>
      </c>
      <c r="AE9" s="174" t="s">
        <v>628</v>
      </c>
      <c r="AF9" s="172" t="s">
        <v>633</v>
      </c>
      <c r="AG9" s="172" t="s">
        <v>633</v>
      </c>
      <c r="AH9" s="172" t="s">
        <v>633</v>
      </c>
      <c r="AI9" s="384" t="s">
        <v>302</v>
      </c>
      <c r="AJ9" s="384" t="s">
        <v>302</v>
      </c>
      <c r="AK9" s="382" t="s">
        <v>302</v>
      </c>
      <c r="AL9" s="382" t="s">
        <v>302</v>
      </c>
      <c r="AM9" s="174" t="s">
        <v>713</v>
      </c>
      <c r="AN9" s="175" t="s">
        <v>636</v>
      </c>
      <c r="AO9" s="172" t="s">
        <v>635</v>
      </c>
      <c r="AP9" s="176" t="s">
        <v>634</v>
      </c>
    </row>
    <row r="10" spans="1:42" ht="175" customHeight="1" thickBot="1" x14ac:dyDescent="0.4">
      <c r="A10" s="180">
        <v>9</v>
      </c>
      <c r="B10" s="387"/>
      <c r="C10" s="167" t="s">
        <v>599</v>
      </c>
      <c r="D10" s="164" t="s">
        <v>599</v>
      </c>
      <c r="E10" s="168" t="s">
        <v>601</v>
      </c>
      <c r="F10" s="389"/>
      <c r="G10" s="164" t="s">
        <v>599</v>
      </c>
      <c r="H10" s="164" t="s">
        <v>602</v>
      </c>
      <c r="I10" s="164" t="s">
        <v>602</v>
      </c>
      <c r="J10" s="391"/>
      <c r="K10" s="164" t="s">
        <v>603</v>
      </c>
      <c r="L10" s="164" t="s">
        <v>604</v>
      </c>
      <c r="M10" s="164" t="s">
        <v>604</v>
      </c>
      <c r="N10" s="164" t="s">
        <v>302</v>
      </c>
      <c r="O10" s="164" t="s">
        <v>605</v>
      </c>
      <c r="P10" s="164" t="s">
        <v>605</v>
      </c>
      <c r="Q10" s="164" t="s">
        <v>605</v>
      </c>
      <c r="R10" s="391"/>
      <c r="S10" s="391"/>
      <c r="T10" s="170" t="s">
        <v>606</v>
      </c>
      <c r="U10" s="170" t="s">
        <v>606</v>
      </c>
      <c r="V10" s="381"/>
      <c r="W10" s="170" t="s">
        <v>625</v>
      </c>
      <c r="X10" s="381"/>
      <c r="Y10" s="170" t="s">
        <v>604</v>
      </c>
      <c r="Z10" s="381"/>
      <c r="AA10" s="173" t="s">
        <v>627</v>
      </c>
      <c r="AB10" s="173" t="s">
        <v>607</v>
      </c>
      <c r="AC10" s="173" t="s">
        <v>608</v>
      </c>
      <c r="AD10" s="173" t="s">
        <v>629</v>
      </c>
      <c r="AE10" s="173" t="s">
        <v>630</v>
      </c>
      <c r="AF10" s="173" t="s">
        <v>631</v>
      </c>
      <c r="AG10" s="173" t="s">
        <v>610</v>
      </c>
      <c r="AH10" s="173" t="s">
        <v>609</v>
      </c>
      <c r="AI10" s="385"/>
      <c r="AJ10" s="385"/>
      <c r="AK10" s="383"/>
      <c r="AL10" s="383"/>
      <c r="AM10" s="173" t="s">
        <v>632</v>
      </c>
      <c r="AN10" s="173" t="s">
        <v>637</v>
      </c>
      <c r="AO10" s="173" t="s">
        <v>607</v>
      </c>
      <c r="AP10" s="173" t="s">
        <v>607</v>
      </c>
    </row>
    <row r="11" spans="1:42" ht="392" thickBot="1" x14ac:dyDescent="0.4">
      <c r="A11" s="180">
        <v>10</v>
      </c>
      <c r="B11" s="178" t="s">
        <v>306</v>
      </c>
      <c r="C11" s="164" t="s">
        <v>720</v>
      </c>
      <c r="D11" s="164" t="s">
        <v>721</v>
      </c>
      <c r="E11" s="164" t="s">
        <v>648</v>
      </c>
      <c r="F11" s="178" t="s">
        <v>302</v>
      </c>
      <c r="G11" s="164" t="s">
        <v>723</v>
      </c>
      <c r="H11" s="164" t="s">
        <v>651</v>
      </c>
      <c r="I11" s="164" t="s">
        <v>307</v>
      </c>
      <c r="J11" s="164" t="s">
        <v>302</v>
      </c>
      <c r="K11" s="164" t="s">
        <v>501</v>
      </c>
      <c r="L11" s="164" t="s">
        <v>724</v>
      </c>
      <c r="M11" s="164" t="s">
        <v>725</v>
      </c>
      <c r="N11" s="164" t="s">
        <v>302</v>
      </c>
      <c r="O11" s="164" t="s">
        <v>669</v>
      </c>
      <c r="P11" s="164" t="s">
        <v>663</v>
      </c>
      <c r="Q11" s="164" t="s">
        <v>735</v>
      </c>
      <c r="R11" s="164"/>
      <c r="S11" s="164" t="s">
        <v>308</v>
      </c>
      <c r="T11" s="170" t="s">
        <v>309</v>
      </c>
      <c r="U11" s="170" t="s">
        <v>310</v>
      </c>
      <c r="V11" s="190" t="s">
        <v>302</v>
      </c>
      <c r="W11" s="170" t="s">
        <v>311</v>
      </c>
      <c r="X11" s="190" t="s">
        <v>302</v>
      </c>
      <c r="Y11" s="170" t="s">
        <v>312</v>
      </c>
      <c r="Z11" s="170" t="s">
        <v>313</v>
      </c>
      <c r="AA11" s="173" t="s">
        <v>726</v>
      </c>
      <c r="AB11" s="173" t="s">
        <v>314</v>
      </c>
      <c r="AC11" s="173" t="s">
        <v>314</v>
      </c>
      <c r="AD11" s="173" t="s">
        <v>702</v>
      </c>
      <c r="AE11" s="173" t="s">
        <v>702</v>
      </c>
      <c r="AF11" s="173" t="s">
        <v>315</v>
      </c>
      <c r="AG11" s="173" t="s">
        <v>316</v>
      </c>
      <c r="AH11" s="173" t="s">
        <v>317</v>
      </c>
      <c r="AI11" s="173" t="s">
        <v>302</v>
      </c>
      <c r="AJ11" s="191" t="s">
        <v>302</v>
      </c>
      <c r="AK11" s="191" t="s">
        <v>302</v>
      </c>
      <c r="AL11" s="191" t="s">
        <v>302</v>
      </c>
      <c r="AM11" s="191" t="s">
        <v>302</v>
      </c>
      <c r="AN11" s="173" t="s">
        <v>318</v>
      </c>
      <c r="AO11" s="173" t="s">
        <v>612</v>
      </c>
      <c r="AP11" s="173" t="s">
        <v>611</v>
      </c>
    </row>
    <row r="12" spans="1:42" ht="87.5" thickBot="1" x14ac:dyDescent="0.4">
      <c r="A12" s="180">
        <v>11</v>
      </c>
      <c r="B12" s="178" t="s">
        <v>319</v>
      </c>
      <c r="C12" s="178" t="s">
        <v>320</v>
      </c>
      <c r="D12" s="178" t="s">
        <v>642</v>
      </c>
      <c r="E12" s="178" t="s">
        <v>600</v>
      </c>
      <c r="F12" s="178" t="s">
        <v>302</v>
      </c>
      <c r="G12" s="178" t="s">
        <v>321</v>
      </c>
      <c r="H12" s="178" t="s">
        <v>322</v>
      </c>
      <c r="I12" s="178" t="s">
        <v>322</v>
      </c>
      <c r="J12" s="178" t="s">
        <v>302</v>
      </c>
      <c r="K12" s="178" t="s">
        <v>320</v>
      </c>
      <c r="L12" s="178" t="s">
        <v>323</v>
      </c>
      <c r="M12" s="178" t="s">
        <v>324</v>
      </c>
      <c r="N12" s="178" t="s">
        <v>302</v>
      </c>
      <c r="O12" s="178" t="s">
        <v>325</v>
      </c>
      <c r="P12" s="178" t="s">
        <v>664</v>
      </c>
      <c r="Q12" s="178" t="s">
        <v>665</v>
      </c>
      <c r="R12" s="178" t="s">
        <v>302</v>
      </c>
      <c r="S12" s="178" t="s">
        <v>326</v>
      </c>
      <c r="T12" s="181" t="s">
        <v>320</v>
      </c>
      <c r="U12" s="181" t="s">
        <v>320</v>
      </c>
      <c r="V12" s="181" t="s">
        <v>302</v>
      </c>
      <c r="W12" s="181" t="s">
        <v>327</v>
      </c>
      <c r="X12" s="181" t="s">
        <v>748</v>
      </c>
      <c r="Y12" s="181" t="s">
        <v>328</v>
      </c>
      <c r="Z12" s="181" t="s">
        <v>329</v>
      </c>
      <c r="AA12" s="184" t="s">
        <v>330</v>
      </c>
      <c r="AB12" s="184" t="s">
        <v>331</v>
      </c>
      <c r="AC12" s="184" t="s">
        <v>331</v>
      </c>
      <c r="AD12" s="184" t="s">
        <v>302</v>
      </c>
      <c r="AE12" s="184" t="s">
        <v>302</v>
      </c>
      <c r="AF12" s="184"/>
      <c r="AG12" s="184"/>
      <c r="AH12" s="184"/>
      <c r="AI12" s="215" t="s">
        <v>302</v>
      </c>
      <c r="AJ12" s="215" t="s">
        <v>302</v>
      </c>
      <c r="AK12" s="215" t="s">
        <v>302</v>
      </c>
      <c r="AL12" s="215" t="s">
        <v>302</v>
      </c>
      <c r="AM12" s="184" t="s">
        <v>746</v>
      </c>
      <c r="AN12" s="184" t="s">
        <v>332</v>
      </c>
      <c r="AO12" s="184" t="s">
        <v>333</v>
      </c>
      <c r="AP12" s="184" t="s">
        <v>334</v>
      </c>
    </row>
    <row r="13" spans="1:42" ht="87.5" hidden="1" thickBot="1" x14ac:dyDescent="0.4">
      <c r="A13" s="180">
        <v>14</v>
      </c>
      <c r="B13" s="178" t="s">
        <v>335</v>
      </c>
      <c r="C13" s="178"/>
      <c r="D13" s="178"/>
      <c r="E13" s="178"/>
      <c r="F13" s="178" t="s">
        <v>302</v>
      </c>
      <c r="G13" s="178"/>
      <c r="H13" s="178"/>
      <c r="I13" s="178"/>
      <c r="J13" s="178"/>
      <c r="K13" s="178"/>
      <c r="L13" s="181" t="s">
        <v>336</v>
      </c>
      <c r="M13" s="178" t="s">
        <v>336</v>
      </c>
      <c r="N13" s="178" t="s">
        <v>302</v>
      </c>
      <c r="O13" s="178" t="s">
        <v>336</v>
      </c>
      <c r="P13" s="178"/>
      <c r="Q13" s="178"/>
      <c r="R13" s="178"/>
      <c r="S13" s="178"/>
      <c r="T13" s="181"/>
      <c r="U13" s="181"/>
      <c r="V13" s="181"/>
      <c r="W13" s="181"/>
      <c r="X13" s="181"/>
      <c r="Y13" s="181"/>
      <c r="Z13" s="181"/>
      <c r="AA13" s="184" t="s">
        <v>337</v>
      </c>
      <c r="AB13" s="184" t="s">
        <v>336</v>
      </c>
      <c r="AC13" s="184"/>
      <c r="AD13" s="184"/>
      <c r="AE13" s="184" t="s">
        <v>302</v>
      </c>
      <c r="AF13" s="184"/>
      <c r="AG13" s="184"/>
      <c r="AH13" s="184"/>
      <c r="AI13" s="215"/>
      <c r="AJ13" s="215"/>
      <c r="AK13" s="215"/>
      <c r="AL13" s="215"/>
      <c r="AM13" s="184"/>
      <c r="AN13" s="184"/>
      <c r="AO13" s="184"/>
      <c r="AP13" s="184"/>
    </row>
    <row r="14" spans="1:42" ht="87.5" hidden="1" thickBot="1" x14ac:dyDescent="0.4">
      <c r="A14" s="180">
        <v>15</v>
      </c>
      <c r="B14" s="178" t="s">
        <v>338</v>
      </c>
      <c r="C14" s="178"/>
      <c r="D14" s="178"/>
      <c r="E14" s="178"/>
      <c r="F14" s="178" t="s">
        <v>302</v>
      </c>
      <c r="G14" s="178"/>
      <c r="H14" s="178"/>
      <c r="I14" s="178"/>
      <c r="J14" s="178"/>
      <c r="K14" s="178"/>
      <c r="L14" s="181" t="s">
        <v>336</v>
      </c>
      <c r="M14" s="178" t="s">
        <v>336</v>
      </c>
      <c r="N14" s="178" t="s">
        <v>302</v>
      </c>
      <c r="O14" s="178" t="s">
        <v>336</v>
      </c>
      <c r="P14" s="178"/>
      <c r="Q14" s="178"/>
      <c r="R14" s="178"/>
      <c r="S14" s="178"/>
      <c r="T14" s="181"/>
      <c r="U14" s="181"/>
      <c r="V14" s="181"/>
      <c r="W14" s="181"/>
      <c r="X14" s="181"/>
      <c r="Y14" s="181"/>
      <c r="Z14" s="181"/>
      <c r="AA14" s="184" t="s">
        <v>339</v>
      </c>
      <c r="AB14" s="184" t="s">
        <v>336</v>
      </c>
      <c r="AC14" s="184"/>
      <c r="AD14" s="184"/>
      <c r="AE14" s="184" t="s">
        <v>302</v>
      </c>
      <c r="AF14" s="184"/>
      <c r="AG14" s="184"/>
      <c r="AH14" s="184"/>
      <c r="AI14" s="215"/>
      <c r="AJ14" s="215"/>
      <c r="AK14" s="215"/>
      <c r="AL14" s="215"/>
      <c r="AM14" s="184"/>
      <c r="AN14" s="184"/>
      <c r="AO14" s="184"/>
      <c r="AP14" s="184"/>
    </row>
    <row r="15" spans="1:42" s="197" customFormat="1" ht="102" hidden="1" thickBot="1" x14ac:dyDescent="0.4">
      <c r="A15" s="192">
        <v>16</v>
      </c>
      <c r="B15" s="193" t="s">
        <v>340</v>
      </c>
      <c r="C15" s="193"/>
      <c r="D15" s="193"/>
      <c r="E15" s="193"/>
      <c r="F15" s="193" t="s">
        <v>302</v>
      </c>
      <c r="G15" s="193"/>
      <c r="H15" s="193"/>
      <c r="I15" s="193"/>
      <c r="J15" s="193"/>
      <c r="K15" s="193"/>
      <c r="L15" s="193"/>
      <c r="M15" s="178" t="s">
        <v>341</v>
      </c>
      <c r="N15" s="178" t="s">
        <v>302</v>
      </c>
      <c r="O15" s="178" t="s">
        <v>341</v>
      </c>
      <c r="P15" s="178"/>
      <c r="Q15" s="178"/>
      <c r="R15" s="178"/>
      <c r="S15" s="178"/>
      <c r="T15" s="181" t="s">
        <v>341</v>
      </c>
      <c r="U15" s="194"/>
      <c r="V15" s="194"/>
      <c r="W15" s="194"/>
      <c r="X15" s="194"/>
      <c r="Y15" s="194" t="s">
        <v>341</v>
      </c>
      <c r="Z15" s="194"/>
      <c r="AA15" s="195" t="s">
        <v>341</v>
      </c>
      <c r="AB15" s="195" t="s">
        <v>341</v>
      </c>
      <c r="AC15" s="195"/>
      <c r="AD15" s="195"/>
      <c r="AE15" s="184" t="s">
        <v>302</v>
      </c>
      <c r="AF15" s="196"/>
      <c r="AG15" s="184"/>
      <c r="AH15" s="184"/>
      <c r="AI15" s="215"/>
      <c r="AJ15" s="215"/>
      <c r="AK15" s="215"/>
      <c r="AL15" s="215"/>
      <c r="AM15" s="184"/>
      <c r="AN15" s="184"/>
      <c r="AO15" s="184"/>
      <c r="AP15" s="184"/>
    </row>
    <row r="16" spans="1:42" ht="301" customHeight="1" thickBot="1" x14ac:dyDescent="0.4">
      <c r="A16" s="180">
        <v>17</v>
      </c>
      <c r="B16" s="178" t="s">
        <v>342</v>
      </c>
      <c r="C16" s="178" t="s">
        <v>343</v>
      </c>
      <c r="D16" s="178" t="s">
        <v>344</v>
      </c>
      <c r="E16" s="178" t="s">
        <v>345</v>
      </c>
      <c r="F16" s="178" t="s">
        <v>346</v>
      </c>
      <c r="G16" s="178" t="s">
        <v>347</v>
      </c>
      <c r="H16" s="178" t="s">
        <v>348</v>
      </c>
      <c r="I16" s="178" t="s">
        <v>349</v>
      </c>
      <c r="J16" s="178" t="s">
        <v>350</v>
      </c>
      <c r="K16" s="178" t="s">
        <v>351</v>
      </c>
      <c r="L16" s="178" t="s">
        <v>352</v>
      </c>
      <c r="M16" s="178" t="s">
        <v>353</v>
      </c>
      <c r="N16" s="178" t="s">
        <v>354</v>
      </c>
      <c r="O16" s="178" t="s">
        <v>355</v>
      </c>
      <c r="P16" s="178" t="s">
        <v>356</v>
      </c>
      <c r="Q16" s="178" t="s">
        <v>357</v>
      </c>
      <c r="R16" s="178" t="s">
        <v>358</v>
      </c>
      <c r="S16" s="178" t="s">
        <v>359</v>
      </c>
      <c r="T16" s="181" t="s">
        <v>360</v>
      </c>
      <c r="U16" s="181" t="s">
        <v>361</v>
      </c>
      <c r="V16" s="181" t="s">
        <v>362</v>
      </c>
      <c r="W16" s="181" t="s">
        <v>363</v>
      </c>
      <c r="X16" s="181" t="s">
        <v>364</v>
      </c>
      <c r="Y16" s="181" t="s">
        <v>365</v>
      </c>
      <c r="Z16" s="181" t="s">
        <v>366</v>
      </c>
      <c r="AA16" s="184" t="s">
        <v>367</v>
      </c>
      <c r="AB16" s="184" t="s">
        <v>368</v>
      </c>
      <c r="AC16" s="184" t="s">
        <v>369</v>
      </c>
      <c r="AD16" s="184" t="s">
        <v>370</v>
      </c>
      <c r="AE16" s="184"/>
      <c r="AF16" s="184" t="s">
        <v>704</v>
      </c>
      <c r="AG16" s="184" t="s">
        <v>371</v>
      </c>
      <c r="AH16" s="184" t="s">
        <v>372</v>
      </c>
      <c r="AI16" s="215" t="s">
        <v>302</v>
      </c>
      <c r="AJ16" s="215" t="s">
        <v>302</v>
      </c>
      <c r="AK16" s="215" t="s">
        <v>302</v>
      </c>
      <c r="AL16" s="215" t="s">
        <v>302</v>
      </c>
      <c r="AM16" s="184" t="s">
        <v>373</v>
      </c>
      <c r="AN16" s="184" t="s">
        <v>374</v>
      </c>
      <c r="AO16" s="184" t="s">
        <v>375</v>
      </c>
      <c r="AP16" s="184" t="s">
        <v>376</v>
      </c>
    </row>
    <row r="17" spans="1:48" ht="140.5" customHeight="1" thickBot="1" x14ac:dyDescent="0.4">
      <c r="A17" s="180">
        <v>18</v>
      </c>
      <c r="B17" s="178" t="s">
        <v>377</v>
      </c>
      <c r="C17" s="178" t="s">
        <v>678</v>
      </c>
      <c r="D17" s="178" t="s">
        <v>677</v>
      </c>
      <c r="E17" s="178" t="s">
        <v>676</v>
      </c>
      <c r="F17" s="178" t="s">
        <v>302</v>
      </c>
      <c r="G17" s="178" t="s">
        <v>675</v>
      </c>
      <c r="H17" s="178" t="s">
        <v>654</v>
      </c>
      <c r="I17" s="178" t="s">
        <v>654</v>
      </c>
      <c r="J17" s="178" t="s">
        <v>302</v>
      </c>
      <c r="K17" s="178" t="s">
        <v>653</v>
      </c>
      <c r="L17" s="178" t="s">
        <v>504</v>
      </c>
      <c r="M17" s="178" t="s">
        <v>505</v>
      </c>
      <c r="N17" s="178" t="s">
        <v>302</v>
      </c>
      <c r="O17" s="178" t="s">
        <v>673</v>
      </c>
      <c r="P17" s="178" t="s">
        <v>674</v>
      </c>
      <c r="Q17" s="178" t="s">
        <v>736</v>
      </c>
      <c r="R17" s="178" t="s">
        <v>302</v>
      </c>
      <c r="S17" s="178" t="s">
        <v>379</v>
      </c>
      <c r="T17" s="181" t="s">
        <v>680</v>
      </c>
      <c r="U17" s="181" t="s">
        <v>679</v>
      </c>
      <c r="V17" s="181" t="s">
        <v>302</v>
      </c>
      <c r="W17" s="181" t="s">
        <v>681</v>
      </c>
      <c r="X17" s="181" t="s">
        <v>745</v>
      </c>
      <c r="Y17" s="181" t="s">
        <v>691</v>
      </c>
      <c r="Z17" s="181" t="s">
        <v>685</v>
      </c>
      <c r="AA17" s="184" t="s">
        <v>697</v>
      </c>
      <c r="AB17" s="184" t="s">
        <v>731</v>
      </c>
      <c r="AC17" s="184" t="s">
        <v>731</v>
      </c>
      <c r="AD17" s="184" t="s">
        <v>701</v>
      </c>
      <c r="AE17" s="184" t="s">
        <v>701</v>
      </c>
      <c r="AF17" s="184" t="s">
        <v>706</v>
      </c>
      <c r="AG17" s="184" t="s">
        <v>705</v>
      </c>
      <c r="AH17" s="184" t="s">
        <v>705</v>
      </c>
      <c r="AI17" s="215" t="s">
        <v>302</v>
      </c>
      <c r="AJ17" s="215" t="s">
        <v>302</v>
      </c>
      <c r="AK17" s="215" t="s">
        <v>302</v>
      </c>
      <c r="AL17" s="215" t="s">
        <v>302</v>
      </c>
      <c r="AM17" s="184" t="s">
        <v>708</v>
      </c>
      <c r="AN17" s="184" t="s">
        <v>687</v>
      </c>
      <c r="AO17" s="184" t="s">
        <v>381</v>
      </c>
      <c r="AP17" s="184" t="s">
        <v>382</v>
      </c>
    </row>
    <row r="18" spans="1:48" ht="54.5" customHeight="1" thickBot="1" x14ac:dyDescent="0.4">
      <c r="A18" s="180">
        <v>19</v>
      </c>
      <c r="B18" s="178" t="s">
        <v>383</v>
      </c>
      <c r="C18" s="178" t="s">
        <v>384</v>
      </c>
      <c r="D18" s="178" t="s">
        <v>643</v>
      </c>
      <c r="E18" s="178" t="s">
        <v>385</v>
      </c>
      <c r="F18" s="178" t="s">
        <v>302</v>
      </c>
      <c r="G18" s="178" t="s">
        <v>386</v>
      </c>
      <c r="H18" s="178" t="s">
        <v>386</v>
      </c>
      <c r="I18" s="178" t="s">
        <v>386</v>
      </c>
      <c r="J18" s="178" t="s">
        <v>302</v>
      </c>
      <c r="K18" s="178" t="s">
        <v>386</v>
      </c>
      <c r="L18" s="178" t="s">
        <v>386</v>
      </c>
      <c r="M18" s="178" t="s">
        <v>386</v>
      </c>
      <c r="N18" s="178" t="s">
        <v>302</v>
      </c>
      <c r="O18" s="178" t="s">
        <v>387</v>
      </c>
      <c r="P18" s="178" t="s">
        <v>388</v>
      </c>
      <c r="Q18" s="178" t="s">
        <v>388</v>
      </c>
      <c r="R18" s="178" t="s">
        <v>302</v>
      </c>
      <c r="S18" s="178" t="s">
        <v>380</v>
      </c>
      <c r="T18" s="181" t="s">
        <v>682</v>
      </c>
      <c r="U18" s="181" t="s">
        <v>389</v>
      </c>
      <c r="V18" s="181" t="s">
        <v>302</v>
      </c>
      <c r="W18" s="181" t="s">
        <v>390</v>
      </c>
      <c r="X18" s="181" t="s">
        <v>688</v>
      </c>
      <c r="Y18" s="181" t="s">
        <v>391</v>
      </c>
      <c r="Z18" s="181" t="s">
        <v>380</v>
      </c>
      <c r="AA18" s="184" t="s">
        <v>386</v>
      </c>
      <c r="AB18" s="184" t="s">
        <v>392</v>
      </c>
      <c r="AC18" s="184" t="s">
        <v>393</v>
      </c>
      <c r="AD18" s="184" t="s">
        <v>393</v>
      </c>
      <c r="AE18" s="184" t="s">
        <v>393</v>
      </c>
      <c r="AF18" s="184" t="s">
        <v>386</v>
      </c>
      <c r="AG18" s="184" t="s">
        <v>386</v>
      </c>
      <c r="AH18" s="184" t="s">
        <v>386</v>
      </c>
      <c r="AI18" s="215" t="s">
        <v>302</v>
      </c>
      <c r="AJ18" s="215" t="s">
        <v>302</v>
      </c>
      <c r="AK18" s="215" t="s">
        <v>302</v>
      </c>
      <c r="AL18" s="215" t="s">
        <v>302</v>
      </c>
      <c r="AM18" s="184" t="s">
        <v>688</v>
      </c>
      <c r="AN18" s="184" t="s">
        <v>380</v>
      </c>
      <c r="AO18" s="184" t="s">
        <v>386</v>
      </c>
      <c r="AP18" s="184" t="s">
        <v>386</v>
      </c>
    </row>
    <row r="19" spans="1:48" ht="77" customHeight="1" thickBot="1" x14ac:dyDescent="0.4">
      <c r="A19" s="180">
        <v>20</v>
      </c>
      <c r="B19" s="178" t="s">
        <v>394</v>
      </c>
      <c r="C19" s="178" t="s">
        <v>395</v>
      </c>
      <c r="D19" s="178" t="s">
        <v>656</v>
      </c>
      <c r="E19" s="178" t="s">
        <v>396</v>
      </c>
      <c r="F19" s="178" t="s">
        <v>302</v>
      </c>
      <c r="G19" s="178" t="s">
        <v>396</v>
      </c>
      <c r="H19" s="178" t="s">
        <v>397</v>
      </c>
      <c r="I19" s="178" t="s">
        <v>655</v>
      </c>
      <c r="J19" s="178" t="s">
        <v>302</v>
      </c>
      <c r="K19" s="178" t="s">
        <v>398</v>
      </c>
      <c r="L19" s="178" t="s">
        <v>399</v>
      </c>
      <c r="M19" s="178" t="s">
        <v>400</v>
      </c>
      <c r="N19" s="178" t="s">
        <v>302</v>
      </c>
      <c r="O19" s="178" t="s">
        <v>670</v>
      </c>
      <c r="P19" s="178" t="s">
        <v>401</v>
      </c>
      <c r="Q19" s="178" t="s">
        <v>402</v>
      </c>
      <c r="R19" s="178" t="s">
        <v>302</v>
      </c>
      <c r="S19" s="178" t="s">
        <v>302</v>
      </c>
      <c r="T19" s="181" t="s">
        <v>403</v>
      </c>
      <c r="U19" s="181" t="s">
        <v>404</v>
      </c>
      <c r="V19" s="181" t="s">
        <v>302</v>
      </c>
      <c r="W19" s="181" t="s">
        <v>405</v>
      </c>
      <c r="X19" s="181" t="s">
        <v>302</v>
      </c>
      <c r="Y19" s="181" t="s">
        <v>406</v>
      </c>
      <c r="Z19" s="181" t="s">
        <v>302</v>
      </c>
      <c r="AA19" s="184" t="s">
        <v>698</v>
      </c>
      <c r="AB19" s="184" t="s">
        <v>407</v>
      </c>
      <c r="AC19" s="184" t="s">
        <v>408</v>
      </c>
      <c r="AD19" s="184" t="s">
        <v>302</v>
      </c>
      <c r="AE19" s="184" t="s">
        <v>302</v>
      </c>
      <c r="AF19" s="184" t="s">
        <v>409</v>
      </c>
      <c r="AG19" s="184" t="s">
        <v>410</v>
      </c>
      <c r="AH19" s="184" t="s">
        <v>411</v>
      </c>
      <c r="AI19" s="215" t="s">
        <v>302</v>
      </c>
      <c r="AJ19" s="215" t="s">
        <v>302</v>
      </c>
      <c r="AK19" s="215" t="s">
        <v>302</v>
      </c>
      <c r="AL19" s="215" t="s">
        <v>302</v>
      </c>
      <c r="AM19" s="184" t="s">
        <v>412</v>
      </c>
      <c r="AN19" s="184" t="s">
        <v>302</v>
      </c>
      <c r="AO19" s="184" t="s">
        <v>381</v>
      </c>
      <c r="AP19" s="184" t="s">
        <v>413</v>
      </c>
    </row>
    <row r="20" spans="1:48" s="197" customFormat="1" ht="108" customHeight="1" thickBot="1" x14ac:dyDescent="0.4">
      <c r="A20" s="192">
        <v>21</v>
      </c>
      <c r="B20" s="193" t="s">
        <v>414</v>
      </c>
      <c r="C20" s="178" t="s">
        <v>640</v>
      </c>
      <c r="D20" s="178" t="s">
        <v>644</v>
      </c>
      <c r="E20" s="178" t="s">
        <v>646</v>
      </c>
      <c r="F20" s="178" t="s">
        <v>302</v>
      </c>
      <c r="G20" s="178" t="s">
        <v>650</v>
      </c>
      <c r="H20" s="178" t="s">
        <v>652</v>
      </c>
      <c r="I20" s="178" t="s">
        <v>652</v>
      </c>
      <c r="J20" s="178" t="s">
        <v>302</v>
      </c>
      <c r="K20" s="178" t="s">
        <v>657</v>
      </c>
      <c r="L20" s="178" t="s">
        <v>659</v>
      </c>
      <c r="M20" s="178" t="s">
        <v>660</v>
      </c>
      <c r="N20" s="178" t="s">
        <v>302</v>
      </c>
      <c r="O20" s="178" t="s">
        <v>671</v>
      </c>
      <c r="P20" s="178" t="s">
        <v>672</v>
      </c>
      <c r="Q20" s="178" t="s">
        <v>690</v>
      </c>
      <c r="R20" s="178" t="s">
        <v>302</v>
      </c>
      <c r="S20" s="178" t="s">
        <v>415</v>
      </c>
      <c r="T20" s="181" t="s">
        <v>416</v>
      </c>
      <c r="U20" s="198" t="s">
        <v>417</v>
      </c>
      <c r="V20" s="198" t="s">
        <v>302</v>
      </c>
      <c r="W20" s="181" t="s">
        <v>415</v>
      </c>
      <c r="X20" s="181" t="s">
        <v>302</v>
      </c>
      <c r="Y20" s="181" t="s">
        <v>418</v>
      </c>
      <c r="Z20" s="198" t="s">
        <v>686</v>
      </c>
      <c r="AA20" s="184" t="s">
        <v>419</v>
      </c>
      <c r="AB20" s="184" t="s">
        <v>420</v>
      </c>
      <c r="AC20" s="184" t="s">
        <v>420</v>
      </c>
      <c r="AD20" s="199" t="s">
        <v>730</v>
      </c>
      <c r="AE20" s="184" t="s">
        <v>302</v>
      </c>
      <c r="AF20" s="200" t="s">
        <v>409</v>
      </c>
      <c r="AG20" s="184" t="s">
        <v>421</v>
      </c>
      <c r="AH20" s="184" t="s">
        <v>422</v>
      </c>
      <c r="AI20" s="215" t="s">
        <v>302</v>
      </c>
      <c r="AJ20" s="215" t="s">
        <v>302</v>
      </c>
      <c r="AK20" s="215" t="s">
        <v>302</v>
      </c>
      <c r="AL20" s="215" t="s">
        <v>302</v>
      </c>
      <c r="AM20" s="184" t="s">
        <v>709</v>
      </c>
      <c r="AN20" s="184" t="s">
        <v>423</v>
      </c>
      <c r="AO20" s="184" t="s">
        <v>710</v>
      </c>
      <c r="AP20" s="184" t="s">
        <v>711</v>
      </c>
    </row>
    <row r="21" spans="1:48" ht="44" hidden="1" thickBot="1" x14ac:dyDescent="0.4">
      <c r="A21" s="180">
        <v>22</v>
      </c>
      <c r="B21" s="178" t="s">
        <v>424</v>
      </c>
      <c r="C21" s="178" t="s">
        <v>425</v>
      </c>
      <c r="D21" s="178" t="s">
        <v>426</v>
      </c>
      <c r="E21" s="178" t="s">
        <v>427</v>
      </c>
      <c r="F21" s="178" t="s">
        <v>302</v>
      </c>
      <c r="G21" s="178" t="s">
        <v>428</v>
      </c>
      <c r="H21" s="178" t="s">
        <v>429</v>
      </c>
      <c r="I21" s="178" t="s">
        <v>430</v>
      </c>
      <c r="J21" s="178" t="s">
        <v>302</v>
      </c>
      <c r="K21" s="178" t="s">
        <v>502</v>
      </c>
      <c r="L21" s="178" t="s">
        <v>431</v>
      </c>
      <c r="M21" s="178" t="s">
        <v>431</v>
      </c>
      <c r="N21" s="178" t="s">
        <v>302</v>
      </c>
      <c r="O21" s="178" t="s">
        <v>432</v>
      </c>
      <c r="P21" s="178" t="s">
        <v>433</v>
      </c>
      <c r="Q21" s="178" t="s">
        <v>434</v>
      </c>
      <c r="R21" s="178" t="s">
        <v>302</v>
      </c>
      <c r="S21" s="178" t="s">
        <v>435</v>
      </c>
      <c r="T21" s="181" t="s">
        <v>436</v>
      </c>
      <c r="U21" s="181" t="s">
        <v>437</v>
      </c>
      <c r="V21" s="181" t="s">
        <v>302</v>
      </c>
      <c r="W21" s="181" t="s">
        <v>438</v>
      </c>
      <c r="X21" s="181" t="s">
        <v>302</v>
      </c>
      <c r="Y21" s="181" t="s">
        <v>439</v>
      </c>
      <c r="Z21" s="181" t="s">
        <v>440</v>
      </c>
      <c r="AA21" s="184" t="s">
        <v>441</v>
      </c>
      <c r="AB21" s="184" t="s">
        <v>442</v>
      </c>
      <c r="AC21" s="184" t="s">
        <v>442</v>
      </c>
      <c r="AD21" s="184" t="s">
        <v>302</v>
      </c>
      <c r="AE21" s="184" t="s">
        <v>302</v>
      </c>
      <c r="AF21" s="184" t="s">
        <v>443</v>
      </c>
      <c r="AG21" s="184" t="s">
        <v>443</v>
      </c>
      <c r="AH21" s="184" t="s">
        <v>443</v>
      </c>
      <c r="AI21" s="184" t="s">
        <v>302</v>
      </c>
      <c r="AJ21" s="184" t="s">
        <v>302</v>
      </c>
      <c r="AK21" s="184" t="s">
        <v>444</v>
      </c>
      <c r="AL21" s="184" t="s">
        <v>445</v>
      </c>
      <c r="AM21" s="184" t="s">
        <v>412</v>
      </c>
      <c r="AN21" s="184" t="s">
        <v>302</v>
      </c>
      <c r="AO21" s="184" t="s">
        <v>446</v>
      </c>
      <c r="AP21" s="184" t="s">
        <v>447</v>
      </c>
    </row>
    <row r="22" spans="1:48" ht="170" customHeight="1" thickBot="1" x14ac:dyDescent="0.4">
      <c r="A22" s="180">
        <v>24</v>
      </c>
      <c r="B22" s="178" t="s">
        <v>448</v>
      </c>
      <c r="C22" s="178" t="s">
        <v>641</v>
      </c>
      <c r="D22" s="178" t="s">
        <v>645</v>
      </c>
      <c r="E22" s="178" t="s">
        <v>718</v>
      </c>
      <c r="F22" s="178" t="s">
        <v>449</v>
      </c>
      <c r="G22" s="178" t="s">
        <v>450</v>
      </c>
      <c r="H22" s="178" t="s">
        <v>451</v>
      </c>
      <c r="I22" s="178" t="s">
        <v>452</v>
      </c>
      <c r="J22" s="201" t="s">
        <v>453</v>
      </c>
      <c r="K22" s="178" t="s">
        <v>454</v>
      </c>
      <c r="L22" s="178" t="s">
        <v>661</v>
      </c>
      <c r="M22" s="178" t="s">
        <v>662</v>
      </c>
      <c r="N22" s="178" t="s">
        <v>455</v>
      </c>
      <c r="O22" s="178" t="s">
        <v>689</v>
      </c>
      <c r="P22" s="178" t="s">
        <v>456</v>
      </c>
      <c r="Q22" s="178" t="s">
        <v>457</v>
      </c>
      <c r="R22" s="201" t="s">
        <v>458</v>
      </c>
      <c r="S22" s="178"/>
      <c r="T22" s="181" t="s">
        <v>459</v>
      </c>
      <c r="U22" s="181" t="s">
        <v>460</v>
      </c>
      <c r="V22" s="181" t="s">
        <v>461</v>
      </c>
      <c r="W22" s="181" t="s">
        <v>699</v>
      </c>
      <c r="X22" s="181" t="s">
        <v>462</v>
      </c>
      <c r="Y22" s="181" t="s">
        <v>700</v>
      </c>
      <c r="Z22" s="181" t="s">
        <v>463</v>
      </c>
      <c r="AA22" s="184" t="s">
        <v>728</v>
      </c>
      <c r="AB22" s="184" t="s">
        <v>729</v>
      </c>
      <c r="AC22" s="184" t="s">
        <v>727</v>
      </c>
      <c r="AD22" s="184"/>
      <c r="AE22" s="184" t="s">
        <v>732</v>
      </c>
      <c r="AF22" s="184" t="s">
        <v>703</v>
      </c>
      <c r="AG22" s="184" t="s">
        <v>703</v>
      </c>
      <c r="AH22" s="184" t="s">
        <v>703</v>
      </c>
      <c r="AI22" s="184" t="s">
        <v>464</v>
      </c>
      <c r="AJ22" s="184" t="s">
        <v>464</v>
      </c>
      <c r="AK22" s="184" t="s">
        <v>464</v>
      </c>
      <c r="AL22" s="184" t="s">
        <v>464</v>
      </c>
      <c r="AM22" s="184" t="s">
        <v>733</v>
      </c>
      <c r="AN22" s="184" t="s">
        <v>302</v>
      </c>
      <c r="AO22" s="184" t="s">
        <v>715</v>
      </c>
      <c r="AP22" s="184" t="s">
        <v>714</v>
      </c>
      <c r="AR22" s="202"/>
      <c r="AS22" s="202"/>
      <c r="AT22" s="202"/>
      <c r="AU22" s="202"/>
      <c r="AV22" s="202"/>
    </row>
    <row r="23" spans="1:48" ht="58.5" thickBot="1" x14ac:dyDescent="0.4">
      <c r="A23" s="180">
        <v>26</v>
      </c>
      <c r="B23" s="178" t="s">
        <v>465</v>
      </c>
      <c r="C23" s="178" t="s">
        <v>466</v>
      </c>
      <c r="D23" s="178" t="s">
        <v>467</v>
      </c>
      <c r="E23" s="178" t="s">
        <v>468</v>
      </c>
      <c r="F23" s="178" t="s">
        <v>302</v>
      </c>
      <c r="G23" s="178" t="s">
        <v>466</v>
      </c>
      <c r="H23" s="178" t="s">
        <v>467</v>
      </c>
      <c r="I23" s="178" t="s">
        <v>466</v>
      </c>
      <c r="J23" s="186" t="s">
        <v>302</v>
      </c>
      <c r="K23" s="178" t="s">
        <v>466</v>
      </c>
      <c r="L23" s="178" t="s">
        <v>466</v>
      </c>
      <c r="M23" s="178" t="s">
        <v>466</v>
      </c>
      <c r="N23" s="178" t="s">
        <v>302</v>
      </c>
      <c r="O23" s="178" t="s">
        <v>466</v>
      </c>
      <c r="P23" s="178" t="s">
        <v>466</v>
      </c>
      <c r="Q23" s="178" t="s">
        <v>466</v>
      </c>
      <c r="R23" s="178" t="s">
        <v>302</v>
      </c>
      <c r="S23" s="178" t="s">
        <v>469</v>
      </c>
      <c r="T23" s="181" t="s">
        <v>466</v>
      </c>
      <c r="U23" s="181" t="s">
        <v>466</v>
      </c>
      <c r="V23" s="181" t="s">
        <v>302</v>
      </c>
      <c r="W23" s="181" t="s">
        <v>469</v>
      </c>
      <c r="X23" s="181" t="s">
        <v>466</v>
      </c>
      <c r="Y23" s="181" t="s">
        <v>466</v>
      </c>
      <c r="Z23" s="181" t="s">
        <v>692</v>
      </c>
      <c r="AA23" s="184" t="s">
        <v>466</v>
      </c>
      <c r="AB23" s="184" t="s">
        <v>466</v>
      </c>
      <c r="AC23" s="184" t="s">
        <v>466</v>
      </c>
      <c r="AD23" s="184" t="s">
        <v>466</v>
      </c>
      <c r="AE23" s="184" t="s">
        <v>466</v>
      </c>
      <c r="AF23" s="184" t="s">
        <v>466</v>
      </c>
      <c r="AG23" s="184" t="s">
        <v>466</v>
      </c>
      <c r="AH23" s="184" t="s">
        <v>466</v>
      </c>
      <c r="AI23" s="184" t="s">
        <v>302</v>
      </c>
      <c r="AJ23" s="184" t="s">
        <v>302</v>
      </c>
      <c r="AK23" s="184" t="s">
        <v>302</v>
      </c>
      <c r="AL23" s="184" t="s">
        <v>302</v>
      </c>
      <c r="AM23" s="184" t="s">
        <v>466</v>
      </c>
      <c r="AN23" s="184" t="s">
        <v>466</v>
      </c>
      <c r="AO23" s="184" t="s">
        <v>466</v>
      </c>
      <c r="AP23" s="184" t="s">
        <v>466</v>
      </c>
    </row>
    <row r="24" spans="1:48" ht="29.5" thickBot="1" x14ac:dyDescent="0.4">
      <c r="A24" s="180">
        <v>27</v>
      </c>
      <c r="B24" s="178" t="s">
        <v>719</v>
      </c>
      <c r="C24" s="203">
        <f>'Rahastamiskava juuni 2025'!I9+'Rahastamiskava juuni 2025'!I11+'Rahastamiskava juuni 2025'!I12+'Rahastamiskava juuni 2025'!I13+'Rahastamiskava juuni 2025'!I15+'Rahastamiskava juuni 2025'!I20+'Rahastamiskava juuni 2025'!I33</f>
        <v>23818750.726499997</v>
      </c>
      <c r="D24" s="203" t="s">
        <v>302</v>
      </c>
      <c r="E24" s="203">
        <f>'Rahastamiskava juuni 2025'!I19+'Rahastamiskava juuni 2025'!I51</f>
        <v>16787169.1785</v>
      </c>
      <c r="F24" s="178" t="s">
        <v>302</v>
      </c>
      <c r="G24" s="203">
        <f>'Rahastamiskava juuni 2025'!I16+'Rahastamiskava juuni 2025'!I17</f>
        <v>399706.78500000003</v>
      </c>
      <c r="H24" s="203">
        <f>'Rahastamiskava juuni 2025'!I10</f>
        <v>143692.9425</v>
      </c>
      <c r="I24" s="203" t="s">
        <v>378</v>
      </c>
      <c r="J24" s="186">
        <v>0</v>
      </c>
      <c r="K24" s="203">
        <f>'Rahastamiskava juuni 2025'!I14+'Rahastamiskava juuni 2025'!I39</f>
        <v>2513925</v>
      </c>
      <c r="L24" s="203">
        <f>'Rahastamiskava juuni 2025'!I18+'Rahastamiskava juuni 2025'!I28+'Rahastamiskava juuni 2025'!I29+'Rahastamiskava juuni 2025'!I30+'Rahastamiskava juuni 2025'!I31</f>
        <v>1985529.15</v>
      </c>
      <c r="M24" s="203" t="s">
        <v>302</v>
      </c>
      <c r="N24" s="178" t="s">
        <v>302</v>
      </c>
      <c r="O24" s="178" t="s">
        <v>302</v>
      </c>
      <c r="P24" s="203">
        <f>'Rahastamiskava juuni 2025'!I21+'Rahastamiskava juuni 2025'!I22+'Rahastamiskava juuni 2025'!I23+'Rahastamiskava juuni 2025'!I24+'Rahastamiskava juuni 2025'!I25+'Rahastamiskava juuni 2025'!I26+'Rahastamiskava juuni 2025'!I27+'Rahastamiskava juuni 2025'!I35+'Rahastamiskava juuni 2025'!I37+'Rahastamiskava juuni 2025'!I43+'Rahastamiskava juuni 2025'!I45+'Rahastamiskava juuni 2025'!I52+'Rahastamiskava juuni 2025'!I53</f>
        <v>16729375.372499999</v>
      </c>
      <c r="Q24" s="204" t="s">
        <v>302</v>
      </c>
      <c r="R24" s="178" t="s">
        <v>302</v>
      </c>
      <c r="S24" s="178" t="s">
        <v>302</v>
      </c>
      <c r="T24" s="205" t="s">
        <v>302</v>
      </c>
      <c r="U24" s="205" t="str">
        <f>T24</f>
        <v>N/A</v>
      </c>
      <c r="V24" s="185" t="s">
        <v>302</v>
      </c>
      <c r="W24" s="205" t="str">
        <f>D24</f>
        <v>N/A</v>
      </c>
      <c r="X24" s="205">
        <f>'Rahastamiskava juuni 2025'!I47+'Rahastamiskava juuni 2025'!I49</f>
        <v>22776411.600000001</v>
      </c>
      <c r="Y24" s="205" t="str">
        <f>M24</f>
        <v>N/A</v>
      </c>
      <c r="Z24" s="181" t="s">
        <v>302</v>
      </c>
      <c r="AA24" s="206">
        <f>'Rahastamiskava juuni 2025'!I57+'Rahastamiskava juuni 2025'!I58</f>
        <v>1537500</v>
      </c>
      <c r="AB24" s="206">
        <f>'Rahastamiskava juuni 2025'!I59+'Rahastamiskava juuni 2025'!I60</f>
        <v>510000</v>
      </c>
      <c r="AC24" s="206" t="s">
        <v>302</v>
      </c>
      <c r="AD24" s="206">
        <f>'Rahastamiskava juuni 2025'!I61</f>
        <v>202500</v>
      </c>
      <c r="AE24" s="184" t="s">
        <v>302</v>
      </c>
      <c r="AF24" s="206" t="s">
        <v>302</v>
      </c>
      <c r="AG24" s="187" t="s">
        <v>302</v>
      </c>
      <c r="AH24" s="184" t="s">
        <v>302</v>
      </c>
      <c r="AI24" s="184" t="s">
        <v>302</v>
      </c>
      <c r="AJ24" s="184" t="s">
        <v>302</v>
      </c>
      <c r="AK24" s="184" t="s">
        <v>302</v>
      </c>
      <c r="AL24" s="184" t="s">
        <v>302</v>
      </c>
      <c r="AM24" s="184" t="s">
        <v>302</v>
      </c>
      <c r="AN24" s="184" t="s">
        <v>302</v>
      </c>
      <c r="AO24" s="184" t="s">
        <v>302</v>
      </c>
      <c r="AP24" s="184" t="s">
        <v>302</v>
      </c>
    </row>
    <row r="25" spans="1:48" ht="29.5" thickBot="1" x14ac:dyDescent="0.4">
      <c r="A25" s="180">
        <v>28</v>
      </c>
      <c r="B25" s="178" t="s">
        <v>470</v>
      </c>
      <c r="C25" s="207" t="s">
        <v>684</v>
      </c>
      <c r="D25" s="207" t="s">
        <v>302</v>
      </c>
      <c r="E25" s="186" t="s">
        <v>716</v>
      </c>
      <c r="F25" s="178" t="s">
        <v>302</v>
      </c>
      <c r="G25" s="207" t="s">
        <v>472</v>
      </c>
      <c r="H25" s="207" t="s">
        <v>472</v>
      </c>
      <c r="I25" s="203" t="s">
        <v>378</v>
      </c>
      <c r="J25" s="207" t="s">
        <v>302</v>
      </c>
      <c r="K25" s="207" t="s">
        <v>471</v>
      </c>
      <c r="L25" s="207" t="s">
        <v>683</v>
      </c>
      <c r="M25" s="203" t="s">
        <v>302</v>
      </c>
      <c r="N25" s="178" t="s">
        <v>302</v>
      </c>
      <c r="O25" s="208" t="s">
        <v>302</v>
      </c>
      <c r="P25" s="207" t="s">
        <v>471</v>
      </c>
      <c r="Q25" s="204" t="s">
        <v>302</v>
      </c>
      <c r="R25" s="178" t="s">
        <v>302</v>
      </c>
      <c r="S25" s="178" t="s">
        <v>302</v>
      </c>
      <c r="T25" s="205" t="s">
        <v>302</v>
      </c>
      <c r="U25" s="209" t="str">
        <f>T25</f>
        <v>N/A</v>
      </c>
      <c r="V25" s="185" t="s">
        <v>302</v>
      </c>
      <c r="W25" s="205" t="str">
        <f t="shared" ref="W25:W28" si="0">D25</f>
        <v>N/A</v>
      </c>
      <c r="X25" s="210">
        <v>90</v>
      </c>
      <c r="Y25" s="205" t="str">
        <f t="shared" ref="Y25:Y29" si="1">M25</f>
        <v>N/A</v>
      </c>
      <c r="Z25" s="185" t="s">
        <v>302</v>
      </c>
      <c r="AA25" s="187">
        <v>75</v>
      </c>
      <c r="AB25" s="187">
        <v>75</v>
      </c>
      <c r="AC25" s="187" t="s">
        <v>302</v>
      </c>
      <c r="AD25" s="187">
        <v>75</v>
      </c>
      <c r="AE25" s="184" t="s">
        <v>302</v>
      </c>
      <c r="AF25" s="187" t="s">
        <v>302</v>
      </c>
      <c r="AG25" s="187" t="s">
        <v>302</v>
      </c>
      <c r="AH25" s="184" t="s">
        <v>302</v>
      </c>
      <c r="AI25" s="184" t="s">
        <v>302</v>
      </c>
      <c r="AJ25" s="184" t="s">
        <v>302</v>
      </c>
      <c r="AK25" s="184" t="s">
        <v>302</v>
      </c>
      <c r="AL25" s="184" t="s">
        <v>302</v>
      </c>
      <c r="AM25" s="184" t="s">
        <v>302</v>
      </c>
      <c r="AN25" s="184" t="s">
        <v>302</v>
      </c>
      <c r="AO25" s="184" t="s">
        <v>302</v>
      </c>
      <c r="AP25" s="184" t="s">
        <v>302</v>
      </c>
    </row>
    <row r="26" spans="1:48" ht="29.5" thickBot="1" x14ac:dyDescent="0.4">
      <c r="A26" s="180">
        <v>29</v>
      </c>
      <c r="B26" s="178" t="s">
        <v>473</v>
      </c>
      <c r="C26" s="203">
        <f>'Rahastamiskava juuni 2025'!K9+'Rahastamiskava juuni 2025'!K11+'Rahastamiskava juuni 2025'!K12+'Rahastamiskava juuni 2025'!K13+'Rahastamiskava juuni 2025'!K15+'Rahastamiskava juuni 2025'!K20+'Rahastamiskava juuni 2025'!K33</f>
        <v>7490350.4334999993</v>
      </c>
      <c r="D26" s="203" t="s">
        <v>302</v>
      </c>
      <c r="E26" s="203">
        <f>'Rahastamiskava juuni 2025'!K19+'Rahastamiskava juuni 2025'!K51</f>
        <v>2707698.5315000005</v>
      </c>
      <c r="F26" s="178" t="s">
        <v>302</v>
      </c>
      <c r="G26" s="203">
        <f>'Rahastamiskava juuni 2025'!K16+'Rahastamiskava juuni 2025'!K17</f>
        <v>133235.595</v>
      </c>
      <c r="H26" s="203">
        <f>'Rahastamiskava juuni 2025'!K10</f>
        <v>47897.647499999999</v>
      </c>
      <c r="I26" s="203" t="s">
        <v>378</v>
      </c>
      <c r="J26" s="186">
        <v>0</v>
      </c>
      <c r="K26" s="203">
        <f>'Rahastamiskava juuni 2025'!K39+'Rahastamiskava juuni 2025'!K14</f>
        <v>445975</v>
      </c>
      <c r="L26" s="203">
        <f>'Rahastamiskava juuni 2025'!K18+'Rahastamiskava juuni 2025'!K28+'Rahastamiskava juuni 2025'!K29+'Rahastamiskava juuni 2025'!K30+'Rahastamiskava juuni 2025'!K31</f>
        <v>661843.05000000005</v>
      </c>
      <c r="M26" s="203" t="s">
        <v>302</v>
      </c>
      <c r="N26" s="178" t="s">
        <v>302</v>
      </c>
      <c r="O26" s="208" t="s">
        <v>302</v>
      </c>
      <c r="P26" s="203">
        <f>'Rahastamiskava juuni 2025'!K21+'Rahastamiskava juuni 2025'!K22+'Rahastamiskava juuni 2025'!K23+'Rahastamiskava juuni 2025'!K24+'Rahastamiskava juuni 2025'!K25+'Rahastamiskava juuni 2025'!K26+'Rahastamiskava juuni 2025'!K27+'Rahastamiskava juuni 2025'!K35+'Rahastamiskava juuni 2025'!K37+'Rahastamiskava juuni 2025'!K43+'Rahastamiskava juuni 2025'!K45+'Rahastamiskava juuni 2025'!K52+'Rahastamiskava juuni 2025'!I53</f>
        <v>4987033.2975000003</v>
      </c>
      <c r="Q26" s="204" t="s">
        <v>302</v>
      </c>
      <c r="R26" s="178" t="s">
        <v>302</v>
      </c>
      <c r="S26" s="178" t="s">
        <v>302</v>
      </c>
      <c r="T26" s="205" t="s">
        <v>302</v>
      </c>
      <c r="U26" s="205" t="str">
        <f>T26</f>
        <v>N/A</v>
      </c>
      <c r="V26" s="185" t="s">
        <v>302</v>
      </c>
      <c r="W26" s="205" t="str">
        <f t="shared" si="0"/>
        <v>N/A</v>
      </c>
      <c r="X26" s="205">
        <f>'Rahastamiskava juuni 2025'!K47+'Rahastamiskava juuni 2025'!K49</f>
        <v>2530712.4000000004</v>
      </c>
      <c r="Y26" s="205" t="str">
        <f t="shared" si="1"/>
        <v>N/A</v>
      </c>
      <c r="Z26" s="181" t="s">
        <v>302</v>
      </c>
      <c r="AA26" s="206">
        <f>'Rahastamiskava juuni 2025'!K57+'Rahastamiskava juuni 2025'!K58</f>
        <v>512500</v>
      </c>
      <c r="AB26" s="206">
        <f>'Rahastamiskava juuni 2025'!K59+'Rahastamiskava juuni 2025'!K60</f>
        <v>170000</v>
      </c>
      <c r="AC26" s="206" t="s">
        <v>302</v>
      </c>
      <c r="AD26" s="206">
        <f>'Rahastamiskava juuni 2025'!K61</f>
        <v>67500</v>
      </c>
      <c r="AE26" s="184" t="s">
        <v>302</v>
      </c>
      <c r="AF26" s="206" t="s">
        <v>302</v>
      </c>
      <c r="AG26" s="187" t="s">
        <v>302</v>
      </c>
      <c r="AH26" s="184" t="s">
        <v>302</v>
      </c>
      <c r="AI26" s="184" t="s">
        <v>302</v>
      </c>
      <c r="AJ26" s="184" t="s">
        <v>302</v>
      </c>
      <c r="AK26" s="184" t="s">
        <v>302</v>
      </c>
      <c r="AL26" s="184" t="s">
        <v>302</v>
      </c>
      <c r="AM26" s="184" t="s">
        <v>302</v>
      </c>
      <c r="AN26" s="184" t="s">
        <v>302</v>
      </c>
      <c r="AO26" s="184" t="s">
        <v>302</v>
      </c>
      <c r="AP26" s="184" t="s">
        <v>302</v>
      </c>
    </row>
    <row r="27" spans="1:48" ht="29.5" thickBot="1" x14ac:dyDescent="0.4">
      <c r="A27" s="180">
        <v>30</v>
      </c>
      <c r="B27" s="178" t="s">
        <v>474</v>
      </c>
      <c r="C27" s="186">
        <v>0</v>
      </c>
      <c r="D27" s="186" t="s">
        <v>302</v>
      </c>
      <c r="E27" s="186">
        <v>0</v>
      </c>
      <c r="F27" s="178" t="s">
        <v>302</v>
      </c>
      <c r="G27" s="186">
        <v>0</v>
      </c>
      <c r="H27" s="186">
        <v>0</v>
      </c>
      <c r="I27" s="203" t="s">
        <v>378</v>
      </c>
      <c r="J27" s="186">
        <v>0</v>
      </c>
      <c r="K27" s="186">
        <v>0</v>
      </c>
      <c r="L27" s="186">
        <v>0</v>
      </c>
      <c r="M27" s="203" t="s">
        <v>302</v>
      </c>
      <c r="N27" s="178" t="s">
        <v>302</v>
      </c>
      <c r="O27" s="208" t="s">
        <v>302</v>
      </c>
      <c r="P27" s="203">
        <v>0</v>
      </c>
      <c r="Q27" s="204" t="s">
        <v>302</v>
      </c>
      <c r="R27" s="178" t="s">
        <v>302</v>
      </c>
      <c r="S27" s="178" t="s">
        <v>302</v>
      </c>
      <c r="T27" s="205" t="s">
        <v>302</v>
      </c>
      <c r="U27" s="185" t="str">
        <f>T27</f>
        <v>N/A</v>
      </c>
      <c r="V27" s="185" t="s">
        <v>302</v>
      </c>
      <c r="W27" s="205" t="str">
        <f t="shared" si="0"/>
        <v>N/A</v>
      </c>
      <c r="X27" s="205">
        <v>0</v>
      </c>
      <c r="Y27" s="205" t="str">
        <f t="shared" si="1"/>
        <v>N/A</v>
      </c>
      <c r="Z27" s="181" t="s">
        <v>302</v>
      </c>
      <c r="AA27" s="187">
        <v>0</v>
      </c>
      <c r="AB27" s="187">
        <v>0</v>
      </c>
      <c r="AC27" s="187" t="s">
        <v>302</v>
      </c>
      <c r="AD27" s="187" t="s">
        <v>302</v>
      </c>
      <c r="AE27" s="184" t="s">
        <v>302</v>
      </c>
      <c r="AF27" s="187" t="s">
        <v>302</v>
      </c>
      <c r="AG27" s="187" t="s">
        <v>302</v>
      </c>
      <c r="AH27" s="184" t="s">
        <v>302</v>
      </c>
      <c r="AI27" s="184" t="s">
        <v>302</v>
      </c>
      <c r="AJ27" s="184" t="s">
        <v>302</v>
      </c>
      <c r="AK27" s="184" t="s">
        <v>302</v>
      </c>
      <c r="AL27" s="184" t="s">
        <v>302</v>
      </c>
      <c r="AM27" s="184" t="s">
        <v>302</v>
      </c>
      <c r="AN27" s="184" t="s">
        <v>302</v>
      </c>
      <c r="AO27" s="184" t="s">
        <v>302</v>
      </c>
      <c r="AP27" s="184" t="s">
        <v>302</v>
      </c>
    </row>
    <row r="28" spans="1:48" ht="29.5" thickBot="1" x14ac:dyDescent="0.4">
      <c r="A28" s="180">
        <v>31</v>
      </c>
      <c r="B28" s="178" t="s">
        <v>475</v>
      </c>
      <c r="C28" s="203">
        <f>C24+C26</f>
        <v>31309101.159999996</v>
      </c>
      <c r="D28" s="203" t="s">
        <v>302</v>
      </c>
      <c r="E28" s="203">
        <f>E24+E26</f>
        <v>19494867.710000001</v>
      </c>
      <c r="F28" s="178" t="s">
        <v>302</v>
      </c>
      <c r="G28" s="203">
        <f>G24+G26</f>
        <v>532942.38</v>
      </c>
      <c r="H28" s="203">
        <f>H24+H26</f>
        <v>191590.59</v>
      </c>
      <c r="I28" s="203" t="s">
        <v>378</v>
      </c>
      <c r="J28" s="186">
        <v>0</v>
      </c>
      <c r="K28" s="203">
        <f>K24+K26</f>
        <v>2959900</v>
      </c>
      <c r="L28" s="203">
        <f>L24+L26</f>
        <v>2647372.2000000002</v>
      </c>
      <c r="M28" s="203" t="s">
        <v>302</v>
      </c>
      <c r="N28" s="178" t="s">
        <v>302</v>
      </c>
      <c r="O28" s="208" t="s">
        <v>302</v>
      </c>
      <c r="P28" s="203">
        <f>P24+P26</f>
        <v>21716408.669999998</v>
      </c>
      <c r="Q28" s="204" t="s">
        <v>302</v>
      </c>
      <c r="R28" s="178" t="s">
        <v>302</v>
      </c>
      <c r="S28" s="178" t="s">
        <v>302</v>
      </c>
      <c r="T28" s="205" t="s">
        <v>302</v>
      </c>
      <c r="U28" s="205" t="str">
        <f>T28</f>
        <v>N/A</v>
      </c>
      <c r="V28" s="185" t="s">
        <v>302</v>
      </c>
      <c r="W28" s="205" t="str">
        <f t="shared" si="0"/>
        <v>N/A</v>
      </c>
      <c r="X28" s="205">
        <f>X24+X26</f>
        <v>25307124</v>
      </c>
      <c r="Y28" s="205" t="str">
        <f t="shared" si="1"/>
        <v>N/A</v>
      </c>
      <c r="Z28" s="181" t="s">
        <v>302</v>
      </c>
      <c r="AA28" s="206">
        <f>AA24+AA26</f>
        <v>2050000</v>
      </c>
      <c r="AB28" s="206">
        <f>AB24+AB26</f>
        <v>680000</v>
      </c>
      <c r="AC28" s="206" t="s">
        <v>302</v>
      </c>
      <c r="AD28" s="206">
        <f>AD24+AD26</f>
        <v>270000</v>
      </c>
      <c r="AE28" s="184" t="s">
        <v>302</v>
      </c>
      <c r="AF28" s="206" t="s">
        <v>302</v>
      </c>
      <c r="AG28" s="187" t="s">
        <v>302</v>
      </c>
      <c r="AH28" s="184" t="s">
        <v>302</v>
      </c>
      <c r="AI28" s="184" t="s">
        <v>302</v>
      </c>
      <c r="AJ28" s="184" t="s">
        <v>302</v>
      </c>
      <c r="AK28" s="184" t="s">
        <v>302</v>
      </c>
      <c r="AL28" s="184" t="s">
        <v>302</v>
      </c>
      <c r="AM28" s="184" t="s">
        <v>302</v>
      </c>
      <c r="AN28" s="184" t="s">
        <v>302</v>
      </c>
      <c r="AO28" s="184" t="s">
        <v>302</v>
      </c>
      <c r="AP28" s="184" t="s">
        <v>302</v>
      </c>
    </row>
    <row r="29" spans="1:48" ht="29.5" thickBot="1" x14ac:dyDescent="0.4">
      <c r="A29" s="180">
        <v>32</v>
      </c>
      <c r="B29" s="178" t="s">
        <v>476</v>
      </c>
      <c r="C29" s="178" t="s">
        <v>477</v>
      </c>
      <c r="D29" s="178" t="s">
        <v>500</v>
      </c>
      <c r="E29" s="186" t="s">
        <v>302</v>
      </c>
      <c r="F29" s="178" t="s">
        <v>302</v>
      </c>
      <c r="G29" s="178" t="s">
        <v>302</v>
      </c>
      <c r="H29" s="211">
        <v>4220</v>
      </c>
      <c r="I29" s="203" t="s">
        <v>378</v>
      </c>
      <c r="J29" s="186" t="s">
        <v>302</v>
      </c>
      <c r="K29" s="212" t="s">
        <v>503</v>
      </c>
      <c r="L29" s="178" t="s">
        <v>478</v>
      </c>
      <c r="M29" s="203" t="s">
        <v>302</v>
      </c>
      <c r="N29" s="178" t="s">
        <v>302</v>
      </c>
      <c r="O29" s="208" t="s">
        <v>302</v>
      </c>
      <c r="P29" s="186" t="s">
        <v>302</v>
      </c>
      <c r="Q29" s="204" t="s">
        <v>302</v>
      </c>
      <c r="R29" s="178" t="s">
        <v>302</v>
      </c>
      <c r="S29" s="178" t="s">
        <v>302</v>
      </c>
      <c r="T29" s="205" t="s">
        <v>302</v>
      </c>
      <c r="U29" s="185" t="s">
        <v>302</v>
      </c>
      <c r="V29" s="185" t="s">
        <v>302</v>
      </c>
      <c r="W29" s="205" t="s">
        <v>302</v>
      </c>
      <c r="X29" s="205" t="s">
        <v>302</v>
      </c>
      <c r="Y29" s="205" t="str">
        <f t="shared" si="1"/>
        <v>N/A</v>
      </c>
      <c r="Z29" s="181" t="s">
        <v>302</v>
      </c>
      <c r="AA29" s="187" t="s">
        <v>302</v>
      </c>
      <c r="AB29" s="187" t="s">
        <v>302</v>
      </c>
      <c r="AC29" s="187" t="s">
        <v>302</v>
      </c>
      <c r="AD29" s="187" t="s">
        <v>302</v>
      </c>
      <c r="AE29" s="184" t="s">
        <v>302</v>
      </c>
      <c r="AF29" s="184" t="s">
        <v>302</v>
      </c>
      <c r="AG29" s="187" t="s">
        <v>302</v>
      </c>
      <c r="AH29" s="184" t="s">
        <v>302</v>
      </c>
      <c r="AI29" s="184" t="s">
        <v>302</v>
      </c>
      <c r="AJ29" s="184" t="s">
        <v>302</v>
      </c>
      <c r="AK29" s="184" t="s">
        <v>302</v>
      </c>
      <c r="AL29" s="184" t="s">
        <v>302</v>
      </c>
      <c r="AM29" s="184" t="s">
        <v>302</v>
      </c>
      <c r="AN29" s="184" t="s">
        <v>302</v>
      </c>
      <c r="AO29" s="184" t="s">
        <v>302</v>
      </c>
      <c r="AP29" s="184" t="s">
        <v>302</v>
      </c>
    </row>
    <row r="30" spans="1:48" x14ac:dyDescent="0.35">
      <c r="AF30" s="54"/>
      <c r="AG30" s="54"/>
      <c r="AH30" s="54"/>
      <c r="AI30" s="54"/>
      <c r="AJ30" s="54"/>
      <c r="AK30" s="54"/>
      <c r="AL30" s="54"/>
      <c r="AM30" s="54"/>
      <c r="AN30" s="54"/>
      <c r="AO30" s="54"/>
      <c r="AP30" s="214"/>
    </row>
    <row r="31" spans="1:48" x14ac:dyDescent="0.35">
      <c r="C31" s="90"/>
      <c r="AE31" s="90"/>
      <c r="AF31" s="54"/>
      <c r="AG31" s="54"/>
      <c r="AH31" s="54"/>
      <c r="AI31" s="54"/>
      <c r="AJ31" s="54"/>
      <c r="AK31" s="54"/>
      <c r="AL31" s="54"/>
      <c r="AM31" s="54"/>
      <c r="AN31" s="54"/>
      <c r="AO31" s="54"/>
      <c r="AP31" s="214"/>
    </row>
    <row r="32" spans="1:48" x14ac:dyDescent="0.35">
      <c r="C32" s="90"/>
      <c r="AF32" s="54"/>
      <c r="AG32" s="54"/>
      <c r="AH32" s="54"/>
      <c r="AI32" s="54"/>
      <c r="AJ32" s="54"/>
      <c r="AK32" s="54"/>
      <c r="AL32" s="54"/>
      <c r="AM32" s="54"/>
      <c r="AN32" s="54"/>
      <c r="AO32" s="54"/>
      <c r="AP32" s="214"/>
    </row>
    <row r="33" spans="3:42" x14ac:dyDescent="0.35">
      <c r="C33" s="90"/>
      <c r="D33" s="90"/>
      <c r="AF33" s="54"/>
      <c r="AG33" s="54"/>
      <c r="AH33" s="54"/>
      <c r="AI33" s="54"/>
      <c r="AJ33" s="54"/>
      <c r="AK33" s="54"/>
      <c r="AL33" s="54"/>
      <c r="AM33" s="54"/>
      <c r="AN33" s="54"/>
      <c r="AO33" s="54"/>
      <c r="AP33" s="214"/>
    </row>
    <row r="34" spans="3:42" x14ac:dyDescent="0.35">
      <c r="C34" s="90"/>
      <c r="AF34" s="54"/>
      <c r="AG34" s="54"/>
      <c r="AH34" s="54"/>
      <c r="AI34" s="54"/>
      <c r="AJ34" s="54"/>
      <c r="AK34" s="54"/>
      <c r="AL34" s="54"/>
      <c r="AM34" s="54"/>
      <c r="AN34" s="54"/>
      <c r="AO34" s="54"/>
      <c r="AP34" s="214"/>
    </row>
    <row r="35" spans="3:42" x14ac:dyDescent="0.35">
      <c r="AF35" s="54"/>
      <c r="AG35" s="54"/>
      <c r="AH35" s="54"/>
      <c r="AI35" s="54"/>
      <c r="AJ35" s="54"/>
      <c r="AK35" s="54"/>
      <c r="AL35" s="54"/>
      <c r="AM35" s="54"/>
      <c r="AN35" s="54"/>
      <c r="AO35" s="54"/>
      <c r="AP35" s="214"/>
    </row>
    <row r="36" spans="3:42" x14ac:dyDescent="0.35">
      <c r="C36" s="90"/>
      <c r="AF36" s="54"/>
      <c r="AG36" s="54"/>
      <c r="AH36" s="54"/>
      <c r="AI36" s="54"/>
      <c r="AJ36" s="54"/>
      <c r="AK36" s="54"/>
      <c r="AL36" s="54"/>
      <c r="AM36" s="54"/>
      <c r="AN36" s="54"/>
      <c r="AO36" s="54"/>
      <c r="AP36" s="214"/>
    </row>
    <row r="37" spans="3:42" x14ac:dyDescent="0.35">
      <c r="AF37" s="54"/>
      <c r="AG37" s="54"/>
      <c r="AH37" s="54"/>
      <c r="AI37" s="54"/>
      <c r="AJ37" s="54"/>
      <c r="AK37" s="54"/>
      <c r="AL37" s="54"/>
      <c r="AM37" s="54"/>
      <c r="AN37" s="54"/>
      <c r="AO37" s="54"/>
      <c r="AP37" s="214"/>
    </row>
    <row r="38" spans="3:42" x14ac:dyDescent="0.35">
      <c r="AF38" s="54"/>
      <c r="AG38" s="54"/>
      <c r="AH38" s="54"/>
      <c r="AI38" s="54"/>
      <c r="AJ38" s="54"/>
      <c r="AK38" s="54"/>
      <c r="AL38" s="54"/>
      <c r="AM38" s="54"/>
      <c r="AN38" s="54"/>
      <c r="AO38" s="54"/>
      <c r="AP38" s="214"/>
    </row>
    <row r="39" spans="3:42" x14ac:dyDescent="0.35">
      <c r="AF39" s="54"/>
      <c r="AG39" s="54"/>
      <c r="AH39" s="54"/>
      <c r="AI39" s="54"/>
      <c r="AJ39" s="54"/>
      <c r="AK39" s="54"/>
      <c r="AL39" s="54"/>
      <c r="AM39" s="54"/>
      <c r="AN39" s="54"/>
      <c r="AO39" s="54"/>
      <c r="AP39" s="214"/>
    </row>
  </sheetData>
  <mergeCells count="12">
    <mergeCell ref="B9:B10"/>
    <mergeCell ref="F9:F10"/>
    <mergeCell ref="J9:J10"/>
    <mergeCell ref="S9:S10"/>
    <mergeCell ref="R9:R10"/>
    <mergeCell ref="X9:X10"/>
    <mergeCell ref="V9:V10"/>
    <mergeCell ref="AK9:AK10"/>
    <mergeCell ref="AL9:AL10"/>
    <mergeCell ref="Z9:Z10"/>
    <mergeCell ref="AI9:AI10"/>
    <mergeCell ref="AJ9:AJ10"/>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F4E7C-7E74-431E-A89F-DEA76678B7CE}">
  <dimension ref="A1:M64"/>
  <sheetViews>
    <sheetView topLeftCell="A33" zoomScale="91" workbookViewId="0">
      <selection activeCell="N56" sqref="N56"/>
    </sheetView>
  </sheetViews>
  <sheetFormatPr defaultRowHeight="14.5" x14ac:dyDescent="0.35"/>
  <cols>
    <col min="2" max="2" width="32.81640625" customWidth="1"/>
    <col min="3" max="3" width="12.90625" customWidth="1"/>
    <col min="4" max="4" width="23.1796875" customWidth="1"/>
    <col min="5" max="5" width="21.36328125" customWidth="1"/>
    <col min="6" max="6" width="16.1796875" customWidth="1"/>
    <col min="7" max="7" width="21.08984375" customWidth="1"/>
    <col min="8" max="8" width="19.1796875" customWidth="1"/>
    <col min="9" max="9" width="23.81640625" customWidth="1"/>
    <col min="11" max="11" width="12.1796875" bestFit="1" customWidth="1"/>
    <col min="12" max="13" width="11.1796875" bestFit="1" customWidth="1"/>
  </cols>
  <sheetData>
    <row r="1" spans="1:6" x14ac:dyDescent="0.35">
      <c r="A1" s="68" t="s">
        <v>141</v>
      </c>
      <c r="B1" s="68" t="s">
        <v>142</v>
      </c>
      <c r="C1" s="68" t="s">
        <v>143</v>
      </c>
      <c r="D1" s="68" t="s">
        <v>144</v>
      </c>
      <c r="E1" s="68" t="s">
        <v>145</v>
      </c>
      <c r="F1" s="68" t="s">
        <v>146</v>
      </c>
    </row>
    <row r="2" spans="1:6" x14ac:dyDescent="0.35">
      <c r="A2" s="78" t="s">
        <v>147</v>
      </c>
      <c r="B2" s="78" t="s">
        <v>12</v>
      </c>
      <c r="C2" s="78">
        <v>1</v>
      </c>
      <c r="D2" s="77">
        <f>E2+F2</f>
        <v>3700699.95</v>
      </c>
      <c r="E2" s="77">
        <f>'Rahastamiskava juuni 2025'!I9+'Rahastamiskava juuni 2025'!I30+'Rahastamiskava juuni 2025'!I31</f>
        <v>2775524.9625000004</v>
      </c>
      <c r="F2" s="77">
        <f>'Rahastamiskava juuni 2025'!K9+'Rahastamiskava juuni 2025'!K30+'Rahastamiskava juuni 2025'!K31</f>
        <v>925174.98750000005</v>
      </c>
    </row>
    <row r="3" spans="1:6" x14ac:dyDescent="0.35">
      <c r="A3" s="78" t="s">
        <v>147</v>
      </c>
      <c r="B3" s="78" t="s">
        <v>168</v>
      </c>
      <c r="C3" s="78">
        <v>2</v>
      </c>
      <c r="D3" s="77">
        <f t="shared" ref="D3:D28" si="0">E3+F3</f>
        <v>191590.59</v>
      </c>
      <c r="E3" s="77">
        <f>'Rahastamiskava juuni 2025'!I10</f>
        <v>143692.9425</v>
      </c>
      <c r="F3" s="77">
        <f>'Rahastamiskava juuni 2025'!K10</f>
        <v>47897.647499999999</v>
      </c>
    </row>
    <row r="4" spans="1:6" x14ac:dyDescent="0.35">
      <c r="A4" s="78" t="s">
        <v>147</v>
      </c>
      <c r="B4" s="78" t="s">
        <v>169</v>
      </c>
      <c r="C4" s="78">
        <v>3</v>
      </c>
      <c r="D4" s="77">
        <f t="shared" si="0"/>
        <v>26327404.210000001</v>
      </c>
      <c r="E4" s="77">
        <f>'Rahastamiskava juuni 2025'!I11+'Rahastamiskava juuni 2025'!I12+'Rahastamiskava juuni 2025'!I13+'Rahastamiskava juuni 2025'!I14+'Rahastamiskava juuni 2025'!I15+'Rahastamiskava juuni 2025'!I33+'Rahastamiskava juuni 2025'!I39</f>
        <v>20376478.014000002</v>
      </c>
      <c r="F4" s="77">
        <f>'Rahastamiskava juuni 2025'!K11+'Rahastamiskava juuni 2025'!K12+'Rahastamiskava juuni 2025'!K13+'Rahastamiskava juuni 2025'!K14+'Rahastamiskava juuni 2025'!K15+'Rahastamiskava juuni 2025'!K33+'Rahastamiskava juuni 2025'!K39</f>
        <v>5950926.1960000005</v>
      </c>
    </row>
    <row r="5" spans="1:6" x14ac:dyDescent="0.35">
      <c r="A5" s="78" t="s">
        <v>147</v>
      </c>
      <c r="B5" s="78" t="s">
        <v>170</v>
      </c>
      <c r="C5" s="78">
        <v>4</v>
      </c>
      <c r="D5" s="77">
        <f t="shared" si="0"/>
        <v>0</v>
      </c>
      <c r="E5" s="77">
        <v>0</v>
      </c>
      <c r="F5" s="77">
        <v>0</v>
      </c>
    </row>
    <row r="6" spans="1:6" ht="26" x14ac:dyDescent="0.35">
      <c r="A6" s="78" t="s">
        <v>147</v>
      </c>
      <c r="B6" s="78" t="s">
        <v>171</v>
      </c>
      <c r="C6" s="78">
        <v>5</v>
      </c>
      <c r="D6" s="77">
        <f t="shared" si="0"/>
        <v>25307124</v>
      </c>
      <c r="E6" s="77">
        <f>'Rahastamiskava juuni 2025'!I47+'Rahastamiskava juuni 2025'!I49</f>
        <v>22776411.600000001</v>
      </c>
      <c r="F6" s="77">
        <f>'Rahastamiskava juuni 2025'!K47+'Rahastamiskava juuni 2025'!K49</f>
        <v>2530712.4000000004</v>
      </c>
    </row>
    <row r="7" spans="1:6" x14ac:dyDescent="0.35">
      <c r="A7" s="78" t="s">
        <v>147</v>
      </c>
      <c r="B7" s="78" t="s">
        <v>172</v>
      </c>
      <c r="C7" s="78">
        <v>6</v>
      </c>
      <c r="D7" s="77">
        <f t="shared" si="0"/>
        <v>532942.38</v>
      </c>
      <c r="E7" s="77">
        <f>'Rahastamiskava juuni 2025'!I16+'Rahastamiskava juuni 2025'!I17</f>
        <v>399706.78500000003</v>
      </c>
      <c r="F7" s="77">
        <f>'Rahastamiskava juuni 2025'!K16+'Rahastamiskava juuni 2025'!K17</f>
        <v>133235.595</v>
      </c>
    </row>
    <row r="8" spans="1:6" ht="26" x14ac:dyDescent="0.35">
      <c r="A8" s="78" t="s">
        <v>147</v>
      </c>
      <c r="B8" s="78" t="s">
        <v>173</v>
      </c>
      <c r="C8" s="78">
        <v>7</v>
      </c>
      <c r="D8" s="77">
        <f t="shared" si="0"/>
        <v>0</v>
      </c>
      <c r="E8" s="77">
        <v>0</v>
      </c>
      <c r="F8" s="77">
        <v>0</v>
      </c>
    </row>
    <row r="9" spans="1:6" x14ac:dyDescent="0.35">
      <c r="A9" s="78" t="s">
        <v>147</v>
      </c>
      <c r="B9" s="78" t="s">
        <v>174</v>
      </c>
      <c r="C9" s="78">
        <v>8</v>
      </c>
      <c r="D9" s="77">
        <f t="shared" si="0"/>
        <v>0</v>
      </c>
      <c r="E9" s="77">
        <v>0</v>
      </c>
      <c r="F9" s="77">
        <v>0</v>
      </c>
    </row>
    <row r="10" spans="1:6" x14ac:dyDescent="0.35">
      <c r="A10" s="78" t="s">
        <v>147</v>
      </c>
      <c r="B10" s="78" t="s">
        <v>175</v>
      </c>
      <c r="C10" s="78">
        <v>9</v>
      </c>
      <c r="D10" s="77">
        <f t="shared" si="0"/>
        <v>0</v>
      </c>
      <c r="E10" s="77">
        <v>0</v>
      </c>
      <c r="F10" s="77">
        <v>0</v>
      </c>
    </row>
    <row r="11" spans="1:6" x14ac:dyDescent="0.35">
      <c r="A11" s="78" t="s">
        <v>147</v>
      </c>
      <c r="B11" s="78" t="s">
        <v>176</v>
      </c>
      <c r="C11" s="78">
        <v>10</v>
      </c>
      <c r="D11" s="77">
        <f t="shared" si="0"/>
        <v>0</v>
      </c>
      <c r="E11" s="77">
        <v>0</v>
      </c>
      <c r="F11" s="77">
        <v>0</v>
      </c>
    </row>
    <row r="12" spans="1:6" x14ac:dyDescent="0.35">
      <c r="A12" s="78" t="s">
        <v>147</v>
      </c>
      <c r="B12" s="78" t="s">
        <v>177</v>
      </c>
      <c r="C12" s="78">
        <v>11</v>
      </c>
      <c r="D12" s="77">
        <f t="shared" si="0"/>
        <v>0</v>
      </c>
      <c r="E12" s="77">
        <v>0</v>
      </c>
      <c r="F12" s="77">
        <v>0</v>
      </c>
    </row>
    <row r="13" spans="1:6" ht="26" x14ac:dyDescent="0.35">
      <c r="A13" s="78" t="s">
        <v>147</v>
      </c>
      <c r="B13" s="78" t="s">
        <v>178</v>
      </c>
      <c r="C13" s="78">
        <v>12</v>
      </c>
      <c r="D13" s="77">
        <f t="shared" si="0"/>
        <v>0</v>
      </c>
      <c r="E13" s="77">
        <v>0</v>
      </c>
      <c r="F13" s="77">
        <v>0</v>
      </c>
    </row>
    <row r="14" spans="1:6" ht="39" x14ac:dyDescent="0.35">
      <c r="A14" s="78" t="s">
        <v>147</v>
      </c>
      <c r="B14" s="78" t="s">
        <v>125</v>
      </c>
      <c r="C14" s="78">
        <v>13</v>
      </c>
      <c r="D14" s="77">
        <f t="shared" si="0"/>
        <v>20798122.640000001</v>
      </c>
      <c r="E14" s="77">
        <f>'Rahastamiskava juuni 2025'!I51+'Rahastamiskava juuni 2025'!I52+'Rahastamiskava juuni 2025'!I53</f>
        <v>18718310.376000002</v>
      </c>
      <c r="F14" s="77">
        <f>'Rahastamiskava juuni 2025'!K51+'Rahastamiskava juuni 2025'!K52+'Rahastamiskava juuni 2025'!K53</f>
        <v>2079812.2640000002</v>
      </c>
    </row>
    <row r="15" spans="1:6" ht="26" x14ac:dyDescent="0.35">
      <c r="A15" s="78" t="s">
        <v>147</v>
      </c>
      <c r="B15" s="78" t="s">
        <v>15</v>
      </c>
      <c r="C15" s="78">
        <v>14</v>
      </c>
      <c r="D15" s="77">
        <f t="shared" si="0"/>
        <v>400000</v>
      </c>
      <c r="E15" s="77">
        <f>'Rahastamiskava juuni 2025'!I28</f>
        <v>300000</v>
      </c>
      <c r="F15" s="77">
        <f>'Rahastamiskava juuni 2025'!K28</f>
        <v>100000</v>
      </c>
    </row>
    <row r="16" spans="1:6" ht="26" x14ac:dyDescent="0.35">
      <c r="A16" s="78" t="s">
        <v>147</v>
      </c>
      <c r="B16" s="78" t="s">
        <v>179</v>
      </c>
      <c r="C16" s="78">
        <v>15</v>
      </c>
      <c r="D16" s="77">
        <f t="shared" si="0"/>
        <v>0</v>
      </c>
      <c r="E16" s="77">
        <v>0</v>
      </c>
      <c r="F16" s="77">
        <v>0</v>
      </c>
    </row>
    <row r="17" spans="1:8" ht="26" x14ac:dyDescent="0.35">
      <c r="A17" s="78" t="s">
        <v>147</v>
      </c>
      <c r="B17" s="78" t="s">
        <v>180</v>
      </c>
      <c r="C17" s="78">
        <v>16</v>
      </c>
      <c r="D17" s="77">
        <f t="shared" si="0"/>
        <v>400000</v>
      </c>
      <c r="E17" s="77">
        <f>'Rahastamiskava juuni 2025'!I29</f>
        <v>300000</v>
      </c>
      <c r="F17" s="77">
        <f>'Rahastamiskava juuni 2025'!K29</f>
        <v>100000</v>
      </c>
    </row>
    <row r="18" spans="1:8" ht="26" x14ac:dyDescent="0.35">
      <c r="A18" s="78" t="s">
        <v>147</v>
      </c>
      <c r="B18" s="78" t="s">
        <v>181</v>
      </c>
      <c r="C18" s="78">
        <v>17</v>
      </c>
      <c r="D18" s="77">
        <f t="shared" si="0"/>
        <v>0</v>
      </c>
      <c r="E18" s="77">
        <v>0</v>
      </c>
      <c r="F18" s="77">
        <v>0</v>
      </c>
    </row>
    <row r="19" spans="1:8" ht="26" x14ac:dyDescent="0.35">
      <c r="A19" s="78" t="s">
        <v>147</v>
      </c>
      <c r="B19" s="78" t="s">
        <v>182</v>
      </c>
      <c r="C19" s="78">
        <v>18</v>
      </c>
      <c r="D19" s="77">
        <f t="shared" si="0"/>
        <v>0</v>
      </c>
      <c r="E19" s="77">
        <v>0</v>
      </c>
      <c r="F19" s="77">
        <v>0</v>
      </c>
    </row>
    <row r="20" spans="1:8" ht="26" x14ac:dyDescent="0.35">
      <c r="A20" s="78" t="s">
        <v>147</v>
      </c>
      <c r="B20" s="78" t="s">
        <v>183</v>
      </c>
      <c r="C20" s="78">
        <v>19</v>
      </c>
      <c r="D20" s="77">
        <f t="shared" si="0"/>
        <v>0</v>
      </c>
      <c r="E20" s="77">
        <v>0</v>
      </c>
      <c r="F20" s="77">
        <v>0</v>
      </c>
    </row>
    <row r="21" spans="1:8" ht="39" x14ac:dyDescent="0.35">
      <c r="A21" s="78" t="s">
        <v>147</v>
      </c>
      <c r="B21" s="78" t="s">
        <v>184</v>
      </c>
      <c r="C21" s="78">
        <v>20</v>
      </c>
      <c r="D21" s="77">
        <f t="shared" si="0"/>
        <v>0</v>
      </c>
      <c r="E21" s="77">
        <v>0</v>
      </c>
      <c r="F21" s="77">
        <v>0</v>
      </c>
    </row>
    <row r="22" spans="1:8" ht="39" x14ac:dyDescent="0.35">
      <c r="A22" s="78" t="s">
        <v>147</v>
      </c>
      <c r="B22" s="78" t="s">
        <v>111</v>
      </c>
      <c r="C22" s="78">
        <v>21</v>
      </c>
      <c r="D22" s="77">
        <f t="shared" si="0"/>
        <v>2261269.9700000002</v>
      </c>
      <c r="E22" s="77">
        <f>'Rahastamiskava juuni 2025'!I24+'Rahastamiskava juuni 2025'!I43</f>
        <v>1952765.8425000003</v>
      </c>
      <c r="F22" s="77">
        <f>'Rahastamiskava juuni 2025'!K24+'Rahastamiskava juuni 2025'!K43</f>
        <v>308504.12750000006</v>
      </c>
    </row>
    <row r="23" spans="1:8" ht="39" x14ac:dyDescent="0.35">
      <c r="A23" s="83" t="s">
        <v>147</v>
      </c>
      <c r="B23" s="83" t="s">
        <v>185</v>
      </c>
      <c r="C23" s="78">
        <v>22</v>
      </c>
      <c r="D23" s="77">
        <f>E23+F23</f>
        <v>1000000</v>
      </c>
      <c r="E23" s="77">
        <f>'Rahastamiskava juuni 2025'!I25</f>
        <v>750000</v>
      </c>
      <c r="F23" s="77">
        <f>'Rahastamiskava juuni 2025'!K25</f>
        <v>250000</v>
      </c>
    </row>
    <row r="24" spans="1:8" ht="39" x14ac:dyDescent="0.35">
      <c r="A24" s="83"/>
      <c r="B24" s="83" t="s">
        <v>186</v>
      </c>
      <c r="C24" s="78">
        <v>23</v>
      </c>
      <c r="D24" s="77">
        <f t="shared" si="0"/>
        <v>0</v>
      </c>
      <c r="E24" s="77">
        <v>0</v>
      </c>
      <c r="F24" s="77">
        <v>0</v>
      </c>
    </row>
    <row r="25" spans="1:8" ht="26" x14ac:dyDescent="0.35">
      <c r="A25" s="78" t="s">
        <v>147</v>
      </c>
      <c r="B25" s="78" t="s">
        <v>107</v>
      </c>
      <c r="C25" s="78">
        <v>24</v>
      </c>
      <c r="D25" s="77">
        <f t="shared" si="0"/>
        <v>3053238.98</v>
      </c>
      <c r="E25" s="77">
        <f>'Rahastamiskava juuni 2025'!I21+'Rahastamiskava juuni 2025'!I37+'Rahastamiskava juuni 2025'!I45</f>
        <v>2448596.5320000001</v>
      </c>
      <c r="F25" s="77">
        <f>'Rahastamiskava juuni 2025'!K21+'Rahastamiskava juuni 2025'!K37+'Rahastamiskava juuni 2025'!K45</f>
        <v>604642.44799999997</v>
      </c>
    </row>
    <row r="26" spans="1:8" ht="26" x14ac:dyDescent="0.35">
      <c r="A26" s="78" t="s">
        <v>147</v>
      </c>
      <c r="B26" s="78" t="s">
        <v>187</v>
      </c>
      <c r="C26" s="78">
        <v>25</v>
      </c>
      <c r="D26" s="77">
        <f t="shared" si="0"/>
        <v>5111254.7200000007</v>
      </c>
      <c r="E26" s="77">
        <f>'Rahastamiskava juuni 2025'!I22+'Rahastamiskava juuni 2025'!I35</f>
        <v>3997129.2480000001</v>
      </c>
      <c r="F26" s="77">
        <f>'Rahastamiskava juuni 2025'!K22+'Rahastamiskava juuni 2025'!K35</f>
        <v>1114125.4720000001</v>
      </c>
    </row>
    <row r="27" spans="1:8" ht="26" x14ac:dyDescent="0.35">
      <c r="A27" s="78" t="s">
        <v>147</v>
      </c>
      <c r="B27" s="78" t="s">
        <v>188</v>
      </c>
      <c r="C27" s="78">
        <v>26</v>
      </c>
      <c r="D27" s="77">
        <f t="shared" si="0"/>
        <v>11143014.27</v>
      </c>
      <c r="E27" s="77">
        <f>'Rahastamiskava juuni 2025'!I18+'Rahastamiskava juuni 2025'!I19+'Rahastamiskava juuni 2025'!I20</f>
        <v>8357260.7025000006</v>
      </c>
      <c r="F27" s="77">
        <f>'Rahastamiskava juuni 2025'!K18+'Rahastamiskava juuni 2025'!K19+'Rahastamiskava juuni 2025'!K20</f>
        <v>2785753.5674999999</v>
      </c>
    </row>
    <row r="28" spans="1:8" ht="26" x14ac:dyDescent="0.35">
      <c r="A28" s="78" t="s">
        <v>147</v>
      </c>
      <c r="B28" s="78" t="s">
        <v>189</v>
      </c>
      <c r="C28" s="78">
        <v>27</v>
      </c>
      <c r="D28" s="77">
        <f t="shared" si="0"/>
        <v>2478245</v>
      </c>
      <c r="E28" s="77">
        <f>'Rahastamiskava juuni 2025'!I23+'Rahastamiskava juuni 2025'!I26+'Rahastamiskava juuni 2025'!I27</f>
        <v>1858683.75</v>
      </c>
      <c r="F28" s="77">
        <f>'Rahastamiskava juuni 2025'!K23+'Rahastamiskava juuni 2025'!K26+'Rahastamiskava juuni 2025'!K27</f>
        <v>619561.25</v>
      </c>
      <c r="G28" s="69"/>
    </row>
    <row r="29" spans="1:8" x14ac:dyDescent="0.35">
      <c r="A29" s="70"/>
      <c r="D29" s="97">
        <f>SUM(D2:D28)</f>
        <v>102704906.71000001</v>
      </c>
      <c r="E29" s="97">
        <f>SUM(E2:E28)</f>
        <v>85154560.75500001</v>
      </c>
      <c r="F29" s="97">
        <f>SUM(F2:F28)</f>
        <v>17550345.955000002</v>
      </c>
      <c r="G29" s="69"/>
      <c r="H29" s="69"/>
    </row>
    <row r="32" spans="1:8" x14ac:dyDescent="0.35">
      <c r="A32" s="68" t="s">
        <v>148</v>
      </c>
      <c r="B32" s="68" t="s">
        <v>142</v>
      </c>
      <c r="C32" s="68" t="s">
        <v>143</v>
      </c>
      <c r="D32" s="68" t="s">
        <v>144</v>
      </c>
      <c r="E32" s="68" t="s">
        <v>145</v>
      </c>
      <c r="F32" s="68" t="s">
        <v>146</v>
      </c>
    </row>
    <row r="33" spans="1:13" ht="26" x14ac:dyDescent="0.35">
      <c r="A33" s="78" t="s">
        <v>148</v>
      </c>
      <c r="B33" s="78" t="s">
        <v>19</v>
      </c>
      <c r="C33" s="78">
        <v>1</v>
      </c>
      <c r="D33" s="82">
        <f>E33+F33</f>
        <v>550000</v>
      </c>
      <c r="E33" s="93">
        <f>'Rahastamiskava juuni 2025'!I59</f>
        <v>412500</v>
      </c>
      <c r="F33" s="93">
        <f>'Rahastamiskava juuni 2025'!K59</f>
        <v>137500</v>
      </c>
    </row>
    <row r="34" spans="1:13" ht="39" x14ac:dyDescent="0.35">
      <c r="A34" s="78" t="s">
        <v>148</v>
      </c>
      <c r="B34" s="78" t="s">
        <v>190</v>
      </c>
      <c r="C34" s="78">
        <v>2</v>
      </c>
      <c r="D34" s="82">
        <f t="shared" ref="D34:D40" si="1">E34+F34</f>
        <v>0</v>
      </c>
      <c r="E34" s="93">
        <v>0</v>
      </c>
      <c r="F34" s="93">
        <v>0</v>
      </c>
    </row>
    <row r="35" spans="1:13" ht="26" x14ac:dyDescent="0.35">
      <c r="A35" s="78" t="s">
        <v>148</v>
      </c>
      <c r="B35" s="78" t="s">
        <v>191</v>
      </c>
      <c r="C35" s="78">
        <v>3</v>
      </c>
      <c r="D35" s="82">
        <f t="shared" si="1"/>
        <v>0</v>
      </c>
      <c r="E35" s="93">
        <v>0</v>
      </c>
      <c r="F35" s="93">
        <v>0</v>
      </c>
    </row>
    <row r="36" spans="1:13" x14ac:dyDescent="0.35">
      <c r="A36" s="78" t="s">
        <v>148</v>
      </c>
      <c r="B36" s="78" t="s">
        <v>20</v>
      </c>
      <c r="C36" s="78">
        <v>4</v>
      </c>
      <c r="D36" s="82">
        <f t="shared" si="1"/>
        <v>130000</v>
      </c>
      <c r="E36" s="93">
        <f>'Rahastamiskava juuni 2025'!I60</f>
        <v>97500</v>
      </c>
      <c r="F36" s="93">
        <f>'Rahastamiskava juuni 2025'!K60</f>
        <v>32500</v>
      </c>
    </row>
    <row r="37" spans="1:13" x14ac:dyDescent="0.35">
      <c r="A37" s="78" t="s">
        <v>148</v>
      </c>
      <c r="B37" s="78" t="s">
        <v>192</v>
      </c>
      <c r="C37" s="78">
        <v>5</v>
      </c>
      <c r="D37" s="82">
        <f t="shared" si="1"/>
        <v>0</v>
      </c>
      <c r="E37" s="93">
        <v>0</v>
      </c>
      <c r="F37" s="93">
        <v>0</v>
      </c>
    </row>
    <row r="38" spans="1:13" ht="26" x14ac:dyDescent="0.35">
      <c r="A38" s="78"/>
      <c r="B38" s="78" t="s">
        <v>193</v>
      </c>
      <c r="C38" s="78">
        <v>6</v>
      </c>
      <c r="D38" s="82">
        <f t="shared" si="1"/>
        <v>1550115</v>
      </c>
      <c r="E38" s="93">
        <f>'Rahastamiskava juuni 2025'!I58</f>
        <v>1162586.25</v>
      </c>
      <c r="F38" s="93">
        <f>'Rahastamiskava juuni 2025'!K58</f>
        <v>387528.75</v>
      </c>
    </row>
    <row r="39" spans="1:13" ht="26" x14ac:dyDescent="0.35">
      <c r="A39" s="78"/>
      <c r="B39" s="78" t="s">
        <v>21</v>
      </c>
      <c r="C39" s="78">
        <v>7</v>
      </c>
      <c r="D39" s="82">
        <f t="shared" si="1"/>
        <v>499885</v>
      </c>
      <c r="E39" s="93">
        <f>'Rahastamiskava juuni 2025'!I57</f>
        <v>374913.75</v>
      </c>
      <c r="F39" s="93">
        <f>'Rahastamiskava juuni 2025'!K57</f>
        <v>124971.25</v>
      </c>
    </row>
    <row r="40" spans="1:13" x14ac:dyDescent="0.35">
      <c r="A40" s="78"/>
      <c r="B40" s="78" t="s">
        <v>194</v>
      </c>
      <c r="C40" s="78">
        <v>8</v>
      </c>
      <c r="D40" s="82">
        <f t="shared" si="1"/>
        <v>270000</v>
      </c>
      <c r="E40" s="93">
        <f>'Rahastamiskava juuni 2025'!I61</f>
        <v>202500</v>
      </c>
      <c r="F40" s="93">
        <f>'Rahastamiskava juuni 2025'!K61</f>
        <v>67500</v>
      </c>
    </row>
    <row r="41" spans="1:13" x14ac:dyDescent="0.35">
      <c r="D41" s="97">
        <f>SUM(D33:D40)</f>
        <v>3000000</v>
      </c>
      <c r="E41" s="97">
        <f>SUM(E33:E40)</f>
        <v>2250000</v>
      </c>
      <c r="F41" s="97">
        <f>SUM(F33:F40)</f>
        <v>750000</v>
      </c>
    </row>
    <row r="45" spans="1:13" ht="15.5" x14ac:dyDescent="0.35">
      <c r="A45" s="395" t="s">
        <v>141</v>
      </c>
      <c r="B45" s="395" t="s">
        <v>149</v>
      </c>
      <c r="C45" s="395"/>
      <c r="D45" s="392" t="s">
        <v>150</v>
      </c>
      <c r="E45" s="91" t="s">
        <v>151</v>
      </c>
      <c r="F45" s="392" t="s">
        <v>152</v>
      </c>
      <c r="G45" s="396" t="s">
        <v>153</v>
      </c>
      <c r="H45" s="396"/>
      <c r="I45" s="72" t="s">
        <v>154</v>
      </c>
    </row>
    <row r="46" spans="1:13" ht="15.5" x14ac:dyDescent="0.35">
      <c r="A46" s="395"/>
      <c r="B46" s="395"/>
      <c r="C46" s="395"/>
      <c r="D46" s="392"/>
      <c r="E46" s="91"/>
      <c r="F46" s="392"/>
      <c r="G46" s="71" t="s">
        <v>155</v>
      </c>
      <c r="H46" s="68" t="s">
        <v>156</v>
      </c>
      <c r="I46" s="73" t="s">
        <v>157</v>
      </c>
    </row>
    <row r="47" spans="1:13" ht="15.5" x14ac:dyDescent="0.35">
      <c r="A47" s="92" t="s">
        <v>158</v>
      </c>
      <c r="B47" s="392" t="s">
        <v>195</v>
      </c>
      <c r="C47" s="392"/>
      <c r="D47" s="78" t="s">
        <v>479</v>
      </c>
      <c r="E47" s="93">
        <f>'Rahastamiskava juuni 2025'!I9+'Rahastamiskava juuni 2025'!I10+'Rahastamiskava juuni 2025'!I11+'Rahastamiskava juuni 2025'!I12+'Rahastamiskava juuni 2025'!I13+'Rahastamiskava juuni 2025'!I14+'Rahastamiskava juuni 2025'!I15+'Rahastamiskava juuni 2025'!I16+'Rahastamiskava juuni 2025'!I17+'Rahastamiskava juuni 2025'!I21+'Rahastamiskava juuni 2025'!I24+'Rahastamiskava juuni 2025'!I30+'Rahastamiskava juuni 2025'!I31</f>
        <v>21818331.967499997</v>
      </c>
      <c r="F47" s="93">
        <f>G47+H47</f>
        <v>7272777.3224999998</v>
      </c>
      <c r="G47" s="77">
        <f>'Rahastamiskava juuni 2025'!K9+'Rahastamiskava juuni 2025'!K10+'Rahastamiskava juuni 2025'!K11+'Rahastamiskava juuni 2025'!K12+'Rahastamiskava juuni 2025'!K13+'Rahastamiskava juuni 2025'!K14+'Rahastamiskava juuni 2025'!K15+'Rahastamiskava juuni 2025'!K16+'Rahastamiskava juuni 2025'!K17+'Rahastamiskava juuni 2025'!K21+'Rahastamiskava juuni 2025'!K24+'Rahastamiskava juuni 2025'!K30+'Rahastamiskava juuni 2025'!K31</f>
        <v>7272777.3224999998</v>
      </c>
      <c r="H47" s="77">
        <v>0</v>
      </c>
      <c r="I47" s="77">
        <f t="shared" ref="I47:I53" si="2">E47+F47</f>
        <v>29091109.289999999</v>
      </c>
    </row>
    <row r="48" spans="1:13" ht="15.5" x14ac:dyDescent="0.35">
      <c r="A48" s="78"/>
      <c r="B48" s="392" t="s">
        <v>196</v>
      </c>
      <c r="C48" s="392"/>
      <c r="D48" s="78" t="s">
        <v>479</v>
      </c>
      <c r="E48" s="93">
        <f>'Rahastamiskava juuni 2025'!I34+'Rahastamiskava juuni 2025'!I36+'Rahastamiskava juuni 2025'!I38+'Rahastamiskava juuni 2025'!I42+'Rahastamiskava juuni 2025'!I44+'Rahastamiskava juuni 2025'!I46+'Rahastamiskava juuni 2025'!I48+'Rahastamiskava juuni 2025'!I50</f>
        <v>30036973.955999997</v>
      </c>
      <c r="F48" s="93">
        <f t="shared" ref="F48:F50" si="3">G48+H48</f>
        <v>3337441.5540000005</v>
      </c>
      <c r="G48" s="77">
        <f>'Rahastamiskava juuni 2025'!K34+'Rahastamiskava juuni 2025'!K36+'Rahastamiskava juuni 2025'!K38+'Rahastamiskava juuni 2025'!K42+'Rahastamiskava juuni 2025'!K44+'Rahastamiskava juuni 2025'!K46+'Rahastamiskava juuni 2025'!K48+'Rahastamiskava juuni 2025'!K50</f>
        <v>3337441.5540000005</v>
      </c>
      <c r="H48" s="77">
        <v>0</v>
      </c>
      <c r="I48" s="77">
        <f t="shared" si="2"/>
        <v>33374415.509999998</v>
      </c>
      <c r="K48" s="69"/>
      <c r="L48" s="69"/>
      <c r="M48" s="69"/>
    </row>
    <row r="49" spans="1:13" ht="15.5" x14ac:dyDescent="0.35">
      <c r="A49" s="78"/>
      <c r="B49" s="392" t="s">
        <v>199</v>
      </c>
      <c r="C49" s="392"/>
      <c r="D49" s="78" t="s">
        <v>479</v>
      </c>
      <c r="E49" s="93">
        <f>'Rahastamiskava juuni 2025'!I22+'Rahastamiskava juuni 2025'!I28+'Rahastamiskava juuni 2025'!I29</f>
        <v>3615000</v>
      </c>
      <c r="F49" s="93">
        <f t="shared" si="3"/>
        <v>1205000</v>
      </c>
      <c r="G49" s="77">
        <f>'Rahastamiskava juuni 2025'!K22+'Rahastamiskava juuni 2025'!K28+'Rahastamiskava juuni 2025'!K29</f>
        <v>1205000</v>
      </c>
      <c r="H49" s="77">
        <v>0</v>
      </c>
      <c r="I49" s="77">
        <f t="shared" si="2"/>
        <v>4820000</v>
      </c>
      <c r="K49" s="69"/>
      <c r="L49" s="69"/>
      <c r="M49" s="69"/>
    </row>
    <row r="50" spans="1:13" ht="15.5" x14ac:dyDescent="0.35">
      <c r="A50" s="78"/>
      <c r="B50" s="392" t="s">
        <v>197</v>
      </c>
      <c r="C50" s="392"/>
      <c r="D50" s="78" t="s">
        <v>479</v>
      </c>
      <c r="E50" s="93">
        <f>'Rahastamiskava juuni 2025'!I18+'Rahastamiskava juuni 2025'!I19+'Rahastamiskava juuni 2025'!I20+'Rahastamiskava juuni 2025'!I23+'Rahastamiskava juuni 2025'!I26+'Rahastamiskava juuni 2025'!I27</f>
        <v>10215944.452500001</v>
      </c>
      <c r="F50" s="93">
        <f t="shared" si="3"/>
        <v>3405314.8174999999</v>
      </c>
      <c r="G50" s="77">
        <f>'Rahastamiskava juuni 2025'!K18+'Rahastamiskava juuni 2025'!K19+'Rahastamiskava juuni 2025'!K20+'Rahastamiskava juuni 2025'!K23+'Rahastamiskava juuni 2025'!K26+'Rahastamiskava juuni 2025'!K27</f>
        <v>3405314.8174999999</v>
      </c>
      <c r="H50" s="77">
        <v>0</v>
      </c>
      <c r="I50" s="77">
        <f t="shared" si="2"/>
        <v>13621259.27</v>
      </c>
      <c r="K50" s="69"/>
      <c r="L50" s="69"/>
      <c r="M50" s="69"/>
    </row>
    <row r="51" spans="1:13" ht="15.5" x14ac:dyDescent="0.35">
      <c r="A51" s="78"/>
      <c r="B51" s="392" t="s">
        <v>198</v>
      </c>
      <c r="C51" s="392"/>
      <c r="D51" s="78" t="s">
        <v>479</v>
      </c>
      <c r="E51" s="93">
        <f>'Rahastamiskava juuni 2025'!I25</f>
        <v>750000</v>
      </c>
      <c r="F51" s="93">
        <f>G51+H51</f>
        <v>250000</v>
      </c>
      <c r="G51" s="77">
        <f>'Rahastamiskava juuni 2025'!K25</f>
        <v>250000</v>
      </c>
      <c r="H51" s="77">
        <v>0</v>
      </c>
      <c r="I51" s="77">
        <f t="shared" si="2"/>
        <v>1000000</v>
      </c>
    </row>
    <row r="52" spans="1:13" ht="15.5" x14ac:dyDescent="0.35">
      <c r="A52" s="78"/>
      <c r="B52" s="71" t="s">
        <v>754</v>
      </c>
      <c r="C52" s="71"/>
      <c r="D52" s="78" t="s">
        <v>479</v>
      </c>
      <c r="E52" s="93">
        <f>'Rahastamiskava juuni 2025'!I54</f>
        <v>18718310.376000002</v>
      </c>
      <c r="F52" s="93">
        <f>G52+H52</f>
        <v>2079812.2640000002</v>
      </c>
      <c r="G52" s="77">
        <f>'Rahastamiskava juuni 2025'!K54</f>
        <v>2079812.2640000002</v>
      </c>
      <c r="H52" s="77">
        <v>0</v>
      </c>
      <c r="I52" s="77">
        <f t="shared" si="2"/>
        <v>20798122.640000001</v>
      </c>
    </row>
    <row r="53" spans="1:13" ht="23" x14ac:dyDescent="0.35">
      <c r="A53" s="92" t="s">
        <v>162</v>
      </c>
      <c r="B53" s="393"/>
      <c r="C53" s="393"/>
      <c r="D53" s="78"/>
      <c r="E53" s="94">
        <f>SUM(E47:E52)</f>
        <v>85154560.752000004</v>
      </c>
      <c r="F53" s="94">
        <f>SUM(F47:F52)</f>
        <v>17550345.957999997</v>
      </c>
      <c r="G53" s="79">
        <f>SUM(G47:G52)</f>
        <v>17550345.957999997</v>
      </c>
      <c r="H53" s="79">
        <f>SUM(H47:H52)</f>
        <v>0</v>
      </c>
      <c r="I53" s="79">
        <f t="shared" si="2"/>
        <v>102704906.71000001</v>
      </c>
    </row>
    <row r="54" spans="1:13" x14ac:dyDescent="0.35">
      <c r="A54" s="92" t="s">
        <v>148</v>
      </c>
      <c r="B54" s="92"/>
      <c r="C54" s="92"/>
      <c r="D54" s="78"/>
      <c r="E54" s="95"/>
      <c r="F54" s="75"/>
      <c r="G54" s="76"/>
      <c r="H54" s="75"/>
      <c r="I54" s="74"/>
    </row>
    <row r="55" spans="1:13" ht="15.5" x14ac:dyDescent="0.35">
      <c r="A55" s="92" t="s">
        <v>163</v>
      </c>
      <c r="B55" s="392" t="s">
        <v>159</v>
      </c>
      <c r="C55" s="392"/>
      <c r="D55" s="78" t="s">
        <v>479</v>
      </c>
      <c r="E55" s="77">
        <f>'Rahastamiskava juuni 2025'!I57+'Rahastamiskava juuni 2025'!I58+'Rahastamiskava juuni 2025'!I59+'Rahastamiskava juuni 2025'!I60</f>
        <v>2047500</v>
      </c>
      <c r="F55" s="77">
        <f>G55+H55</f>
        <v>682500</v>
      </c>
      <c r="G55" s="93">
        <f>'Rahastamiskava juuni 2025'!K57+'Rahastamiskava juuni 2025'!K58+'Rahastamiskava juuni 2025'!K59+'Rahastamiskava juuni 2025'!K60</f>
        <v>682500</v>
      </c>
      <c r="H55" s="93">
        <v>0</v>
      </c>
      <c r="I55" s="77">
        <f>E55+F55</f>
        <v>2730000</v>
      </c>
      <c r="L55" s="69"/>
    </row>
    <row r="56" spans="1:13" ht="15.5" x14ac:dyDescent="0.35">
      <c r="A56" s="78"/>
      <c r="B56" s="392" t="s">
        <v>160</v>
      </c>
      <c r="C56" s="392"/>
      <c r="D56" s="78" t="s">
        <v>479</v>
      </c>
      <c r="E56" s="96">
        <v>0</v>
      </c>
      <c r="F56" s="77">
        <f t="shared" ref="F56:F58" si="4">G56+H56</f>
        <v>0</v>
      </c>
      <c r="G56" s="96">
        <v>0</v>
      </c>
      <c r="H56" s="93">
        <v>0</v>
      </c>
      <c r="I56" s="77">
        <f t="shared" ref="I56:I59" si="5">E56+F56</f>
        <v>0</v>
      </c>
    </row>
    <row r="57" spans="1:13" ht="15.5" x14ac:dyDescent="0.35">
      <c r="A57" s="78"/>
      <c r="B57" s="392" t="s">
        <v>161</v>
      </c>
      <c r="C57" s="392"/>
      <c r="D57" s="78" t="s">
        <v>479</v>
      </c>
      <c r="E57" s="96">
        <v>0</v>
      </c>
      <c r="F57" s="77">
        <f t="shared" si="4"/>
        <v>0</v>
      </c>
      <c r="G57" s="96">
        <v>0</v>
      </c>
      <c r="H57" s="93">
        <v>0</v>
      </c>
      <c r="I57" s="77">
        <f t="shared" si="5"/>
        <v>0</v>
      </c>
    </row>
    <row r="58" spans="1:13" ht="15.5" x14ac:dyDescent="0.35">
      <c r="A58" s="78"/>
      <c r="B58" s="392" t="s">
        <v>164</v>
      </c>
      <c r="C58" s="392"/>
      <c r="D58" s="78" t="s">
        <v>479</v>
      </c>
      <c r="E58" s="93">
        <f>'Rahastamiskava juuni 2025'!I61</f>
        <v>202500</v>
      </c>
      <c r="F58" s="77">
        <f t="shared" si="4"/>
        <v>67500</v>
      </c>
      <c r="G58" s="93">
        <f>'Rahastamiskava juuni 2025'!K61</f>
        <v>67500</v>
      </c>
      <c r="H58" s="93">
        <v>0</v>
      </c>
      <c r="I58" s="77">
        <f t="shared" si="5"/>
        <v>270000</v>
      </c>
    </row>
    <row r="59" spans="1:13" ht="26" x14ac:dyDescent="0.35">
      <c r="A59" s="78" t="s">
        <v>165</v>
      </c>
      <c r="B59" s="392"/>
      <c r="C59" s="392"/>
      <c r="D59" s="78"/>
      <c r="E59" s="94">
        <f>SUM(E55:E58)</f>
        <v>2250000</v>
      </c>
      <c r="F59" s="79">
        <f>G59+H59</f>
        <v>750000</v>
      </c>
      <c r="G59" s="79">
        <f>SUM(G55:G58)</f>
        <v>750000</v>
      </c>
      <c r="H59" s="94">
        <f>SUM(H55:H58)</f>
        <v>0</v>
      </c>
      <c r="I59" s="79">
        <f t="shared" si="5"/>
        <v>3000000</v>
      </c>
      <c r="K59" s="69"/>
    </row>
    <row r="60" spans="1:13" ht="15.5" x14ac:dyDescent="0.35">
      <c r="A60" s="394" t="s">
        <v>166</v>
      </c>
      <c r="B60" s="394"/>
      <c r="C60" s="394"/>
      <c r="D60" s="75"/>
      <c r="E60" s="94">
        <f>'Rahastamiskava juuni 2025'!I62</f>
        <v>5244273.6400000006</v>
      </c>
      <c r="F60" s="94">
        <v>0</v>
      </c>
      <c r="G60" s="94">
        <v>0</v>
      </c>
      <c r="H60" s="94">
        <v>0</v>
      </c>
      <c r="I60" s="94">
        <f>E60</f>
        <v>5244273.6400000006</v>
      </c>
    </row>
    <row r="61" spans="1:13" ht="15.5" x14ac:dyDescent="0.35">
      <c r="A61" s="392" t="s">
        <v>167</v>
      </c>
      <c r="B61" s="392"/>
      <c r="C61" s="71"/>
      <c r="D61" s="75"/>
      <c r="E61" s="97">
        <f>E53+E59+E60</f>
        <v>92648834.392000005</v>
      </c>
      <c r="F61" s="97">
        <f>F53+F59+F60</f>
        <v>18300345.957999997</v>
      </c>
      <c r="G61" s="97">
        <f>G53+G59+G60</f>
        <v>18300345.957999997</v>
      </c>
      <c r="H61" s="97">
        <f>H53+H59+H60</f>
        <v>0</v>
      </c>
      <c r="I61" s="97">
        <f>I53+I59+I60</f>
        <v>110949180.35000001</v>
      </c>
    </row>
    <row r="62" spans="1:13" x14ac:dyDescent="0.35">
      <c r="A62" s="80"/>
      <c r="B62" s="80"/>
      <c r="C62" s="80"/>
      <c r="D62" s="80"/>
      <c r="E62" s="80"/>
      <c r="F62" s="80"/>
      <c r="G62" s="80"/>
    </row>
    <row r="63" spans="1:13" ht="15.5" x14ac:dyDescent="0.35">
      <c r="A63" s="81"/>
    </row>
    <row r="64" spans="1:13" ht="15.5" x14ac:dyDescent="0.35">
      <c r="A64" s="81"/>
    </row>
  </sheetData>
  <mergeCells count="18">
    <mergeCell ref="A45:A46"/>
    <mergeCell ref="B45:C46"/>
    <mergeCell ref="D45:D46"/>
    <mergeCell ref="F45:F46"/>
    <mergeCell ref="G45:H45"/>
    <mergeCell ref="B47:C47"/>
    <mergeCell ref="A61:B61"/>
    <mergeCell ref="B48:C48"/>
    <mergeCell ref="B49:C49"/>
    <mergeCell ref="B50:C50"/>
    <mergeCell ref="B51:C51"/>
    <mergeCell ref="B53:C53"/>
    <mergeCell ref="B55:C55"/>
    <mergeCell ref="B56:C56"/>
    <mergeCell ref="B57:C57"/>
    <mergeCell ref="B58:C58"/>
    <mergeCell ref="B59:C59"/>
    <mergeCell ref="A60:C60"/>
  </mergeCells>
  <phoneticPr fontId="2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Rahastamiskava juuni 2025</vt:lpstr>
      <vt:lpstr>indikaatorite arvutused</vt:lpstr>
      <vt:lpstr>Performance FW</vt:lpstr>
      <vt:lpstr>SFC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Aivi Kuivonen</dc:creator>
  <cp:lastModifiedBy>Aivi Kuivonen</cp:lastModifiedBy>
  <cp:lastPrinted>2023-05-10T08:29:59Z</cp:lastPrinted>
  <dcterms:created xsi:type="dcterms:W3CDTF">2021-01-20T17:13:30Z</dcterms:created>
  <dcterms:modified xsi:type="dcterms:W3CDTF">2025-09-16T10:21:22Z</dcterms:modified>
</cp:coreProperties>
</file>